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מועצה\אתר אינטרנט\"/>
    </mc:Choice>
  </mc:AlternateContent>
  <bookViews>
    <workbookView xWindow="0" yWindow="0" windowWidth="24000" windowHeight="9630"/>
  </bookViews>
  <sheets>
    <sheet name="גיליון1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3" i="1" l="1"/>
  <c r="C295" i="1" s="1"/>
  <c r="B293" i="1"/>
  <c r="B295" i="1" s="1"/>
  <c r="D292" i="1"/>
  <c r="E292" i="1" s="1"/>
  <c r="E291" i="1"/>
  <c r="E290" i="1"/>
  <c r="D289" i="1"/>
  <c r="E289" i="1" s="1"/>
  <c r="D288" i="1"/>
  <c r="E288" i="1" s="1"/>
  <c r="E287" i="1"/>
  <c r="E286" i="1"/>
  <c r="E285" i="1"/>
  <c r="D281" i="1"/>
  <c r="D282" i="1" s="1"/>
  <c r="C281" i="1"/>
  <c r="C282" i="1" s="1"/>
  <c r="B281" i="1"/>
  <c r="B282" i="1" s="1"/>
  <c r="E280" i="1"/>
  <c r="E281" i="1" s="1"/>
  <c r="E282" i="1" s="1"/>
  <c r="D277" i="1"/>
  <c r="D278" i="1" s="1"/>
  <c r="C277" i="1"/>
  <c r="C278" i="1" s="1"/>
  <c r="B277" i="1"/>
  <c r="B278" i="1" s="1"/>
  <c r="E276" i="1"/>
  <c r="E275" i="1"/>
  <c r="E274" i="1"/>
  <c r="C274" i="1"/>
  <c r="E273" i="1"/>
  <c r="E272" i="1"/>
  <c r="E271" i="1"/>
  <c r="E270" i="1"/>
  <c r="E269" i="1"/>
  <c r="D266" i="1"/>
  <c r="D267" i="1" s="1"/>
  <c r="C266" i="1"/>
  <c r="C267" i="1" s="1"/>
  <c r="B266" i="1"/>
  <c r="B267" i="1" s="1"/>
  <c r="E265" i="1"/>
  <c r="E266" i="1" s="1"/>
  <c r="E267" i="1" s="1"/>
  <c r="B263" i="1"/>
  <c r="C262" i="1"/>
  <c r="C263" i="1" s="1"/>
  <c r="B262" i="1"/>
  <c r="E261" i="1"/>
  <c r="D260" i="1"/>
  <c r="E260" i="1" s="1"/>
  <c r="E259" i="1"/>
  <c r="E258" i="1"/>
  <c r="D257" i="1"/>
  <c r="E257" i="1" s="1"/>
  <c r="E256" i="1"/>
  <c r="E255" i="1"/>
  <c r="E254" i="1"/>
  <c r="E253" i="1"/>
  <c r="E252" i="1"/>
  <c r="E251" i="1"/>
  <c r="E250" i="1"/>
  <c r="E249" i="1"/>
  <c r="E248" i="1"/>
  <c r="E247" i="1"/>
  <c r="E246" i="1"/>
  <c r="D245" i="1"/>
  <c r="E245" i="1" s="1"/>
  <c r="E244" i="1"/>
  <c r="E243" i="1"/>
  <c r="D242" i="1"/>
  <c r="E242" i="1" s="1"/>
  <c r="E241" i="1"/>
  <c r="E240" i="1"/>
  <c r="D239" i="1"/>
  <c r="E239" i="1" s="1"/>
  <c r="E262" i="1" s="1"/>
  <c r="E263" i="1" s="1"/>
  <c r="B236" i="1"/>
  <c r="B237" i="1" s="1"/>
  <c r="E235" i="1"/>
  <c r="E234" i="1"/>
  <c r="C234" i="1"/>
  <c r="E233" i="1"/>
  <c r="D233" i="1"/>
  <c r="E232" i="1"/>
  <c r="D231" i="1"/>
  <c r="E231" i="1" s="1"/>
  <c r="E230" i="1"/>
  <c r="E229" i="1"/>
  <c r="E228" i="1"/>
  <c r="E227" i="1"/>
  <c r="D227" i="1"/>
  <c r="E226" i="1"/>
  <c r="E225" i="1"/>
  <c r="E224" i="1"/>
  <c r="D223" i="1"/>
  <c r="E223" i="1" s="1"/>
  <c r="C223" i="1"/>
  <c r="D222" i="1"/>
  <c r="E222" i="1" s="1"/>
  <c r="E220" i="1"/>
  <c r="D219" i="1"/>
  <c r="E219" i="1" s="1"/>
  <c r="E218" i="1"/>
  <c r="C218" i="1"/>
  <c r="C214" i="1"/>
  <c r="B214" i="1"/>
  <c r="E213" i="1"/>
  <c r="D212" i="1"/>
  <c r="E212" i="1" s="1"/>
  <c r="D211" i="1"/>
  <c r="D209" i="1"/>
  <c r="C209" i="1"/>
  <c r="B209" i="1"/>
  <c r="E207" i="1"/>
  <c r="E209" i="1" s="1"/>
  <c r="C204" i="1"/>
  <c r="B204" i="1"/>
  <c r="D203" i="1"/>
  <c r="E203" i="1" s="1"/>
  <c r="D202" i="1"/>
  <c r="E202" i="1" s="1"/>
  <c r="D201" i="1"/>
  <c r="E201" i="1" s="1"/>
  <c r="E200" i="1"/>
  <c r="E199" i="1"/>
  <c r="E198" i="1"/>
  <c r="D197" i="1"/>
  <c r="E197" i="1" s="1"/>
  <c r="D196" i="1"/>
  <c r="E196" i="1" s="1"/>
  <c r="E195" i="1"/>
  <c r="D195" i="1"/>
  <c r="E194" i="1"/>
  <c r="D193" i="1"/>
  <c r="E193" i="1" s="1"/>
  <c r="D192" i="1"/>
  <c r="E191" i="1"/>
  <c r="E186" i="1"/>
  <c r="C186" i="1"/>
  <c r="E185" i="1"/>
  <c r="C184" i="1"/>
  <c r="B184" i="1"/>
  <c r="E184" i="1" s="1"/>
  <c r="D183" i="1"/>
  <c r="E183" i="1" s="1"/>
  <c r="D182" i="1"/>
  <c r="E182" i="1" s="1"/>
  <c r="E181" i="1"/>
  <c r="E180" i="1"/>
  <c r="E179" i="1"/>
  <c r="E178" i="1"/>
  <c r="D177" i="1"/>
  <c r="E177" i="1" s="1"/>
  <c r="E176" i="1"/>
  <c r="E175" i="1"/>
  <c r="E174" i="1"/>
  <c r="E173" i="1"/>
  <c r="E172" i="1"/>
  <c r="C172" i="1"/>
  <c r="E171" i="1"/>
  <c r="E170" i="1"/>
  <c r="E169" i="1"/>
  <c r="E168" i="1"/>
  <c r="E167" i="1"/>
  <c r="D166" i="1"/>
  <c r="C166" i="1"/>
  <c r="B166" i="1"/>
  <c r="E165" i="1"/>
  <c r="E164" i="1"/>
  <c r="E163" i="1"/>
  <c r="D162" i="1"/>
  <c r="E162" i="1" s="1"/>
  <c r="E161" i="1"/>
  <c r="E160" i="1"/>
  <c r="E159" i="1"/>
  <c r="E158" i="1"/>
  <c r="E157" i="1"/>
  <c r="D157" i="1"/>
  <c r="E156" i="1"/>
  <c r="C153" i="1"/>
  <c r="C154" i="1" s="1"/>
  <c r="B153" i="1"/>
  <c r="B154" i="1" s="1"/>
  <c r="D152" i="1"/>
  <c r="E152" i="1" s="1"/>
  <c r="D151" i="1"/>
  <c r="E151" i="1" s="1"/>
  <c r="E150" i="1"/>
  <c r="D149" i="1"/>
  <c r="E149" i="1" s="1"/>
  <c r="E148" i="1"/>
  <c r="E147" i="1"/>
  <c r="E146" i="1"/>
  <c r="E145" i="1"/>
  <c r="E144" i="1"/>
  <c r="D143" i="1"/>
  <c r="E143" i="1" s="1"/>
  <c r="C141" i="1"/>
  <c r="C140" i="1"/>
  <c r="B140" i="1"/>
  <c r="B141" i="1" s="1"/>
  <c r="D139" i="1"/>
  <c r="E139" i="1" s="1"/>
  <c r="D138" i="1"/>
  <c r="E137" i="1"/>
  <c r="D136" i="1"/>
  <c r="E136" i="1" s="1"/>
  <c r="E135" i="1"/>
  <c r="D128" i="1"/>
  <c r="D129" i="1" s="1"/>
  <c r="C128" i="1"/>
  <c r="C129" i="1" s="1"/>
  <c r="B128" i="1"/>
  <c r="B129" i="1" s="1"/>
  <c r="E127" i="1"/>
  <c r="E126" i="1"/>
  <c r="B123" i="1"/>
  <c r="B124" i="1" s="1"/>
  <c r="E122" i="1"/>
  <c r="E121" i="1"/>
  <c r="E120" i="1"/>
  <c r="D119" i="1"/>
  <c r="E119" i="1" s="1"/>
  <c r="C119" i="1"/>
  <c r="C123" i="1" s="1"/>
  <c r="C124" i="1" s="1"/>
  <c r="C133" i="1" s="1"/>
  <c r="E118" i="1"/>
  <c r="D118" i="1"/>
  <c r="D123" i="1" s="1"/>
  <c r="D124" i="1" s="1"/>
  <c r="E117" i="1"/>
  <c r="E116" i="1"/>
  <c r="C113" i="1"/>
  <c r="C114" i="1" s="1"/>
  <c r="B113" i="1"/>
  <c r="B114" i="1" s="1"/>
  <c r="E112" i="1"/>
  <c r="E111" i="1"/>
  <c r="E110" i="1"/>
  <c r="E109" i="1"/>
  <c r="E108" i="1"/>
  <c r="E107" i="1"/>
  <c r="E106" i="1"/>
  <c r="E105" i="1"/>
  <c r="D104" i="1"/>
  <c r="E104" i="1" s="1"/>
  <c r="E103" i="1"/>
  <c r="E102" i="1"/>
  <c r="E101" i="1"/>
  <c r="E100" i="1"/>
  <c r="E99" i="1"/>
  <c r="E98" i="1"/>
  <c r="E97" i="1"/>
  <c r="E96" i="1"/>
  <c r="D95" i="1"/>
  <c r="E94" i="1"/>
  <c r="E93" i="1"/>
  <c r="E92" i="1"/>
  <c r="C87" i="1"/>
  <c r="C88" i="1" s="1"/>
  <c r="B87" i="1"/>
  <c r="B88" i="1" s="1"/>
  <c r="E85" i="1"/>
  <c r="E84" i="1"/>
  <c r="E83" i="1"/>
  <c r="C81" i="1"/>
  <c r="D80" i="1"/>
  <c r="D81" i="1" s="1"/>
  <c r="C80" i="1"/>
  <c r="B80" i="1"/>
  <c r="B81" i="1" s="1"/>
  <c r="E79" i="1"/>
  <c r="E80" i="1" s="1"/>
  <c r="E81" i="1" s="1"/>
  <c r="C76" i="1"/>
  <c r="D75" i="1"/>
  <c r="D76" i="1" s="1"/>
  <c r="C75" i="1"/>
  <c r="C77" i="1" s="1"/>
  <c r="B75" i="1"/>
  <c r="B77" i="1" s="1"/>
  <c r="E74" i="1"/>
  <c r="E73" i="1"/>
  <c r="E72" i="1"/>
  <c r="C69" i="1"/>
  <c r="C68" i="1"/>
  <c r="B68" i="1"/>
  <c r="B69" i="1" s="1"/>
  <c r="D67" i="1"/>
  <c r="E67" i="1" s="1"/>
  <c r="E66" i="1"/>
  <c r="E68" i="1" s="1"/>
  <c r="E69" i="1" s="1"/>
  <c r="D66" i="1"/>
  <c r="C64" i="1"/>
  <c r="C63" i="1"/>
  <c r="B63" i="1"/>
  <c r="B64" i="1" s="1"/>
  <c r="D62" i="1"/>
  <c r="E62" i="1" s="1"/>
  <c r="E61" i="1"/>
  <c r="D61" i="1"/>
  <c r="D60" i="1"/>
  <c r="E60" i="1" s="1"/>
  <c r="D59" i="1"/>
  <c r="E58" i="1"/>
  <c r="B56" i="1"/>
  <c r="B57" i="1" s="1"/>
  <c r="E55" i="1"/>
  <c r="E54" i="1"/>
  <c r="D53" i="1"/>
  <c r="E53" i="1" s="1"/>
  <c r="E52" i="1"/>
  <c r="E51" i="1"/>
  <c r="E50" i="1"/>
  <c r="D49" i="1"/>
  <c r="E48" i="1"/>
  <c r="E47" i="1"/>
  <c r="E46" i="1"/>
  <c r="C46" i="1"/>
  <c r="C56" i="1" s="1"/>
  <c r="C57" i="1" s="1"/>
  <c r="B42" i="1"/>
  <c r="B43" i="1" s="1"/>
  <c r="D41" i="1"/>
  <c r="D42" i="1" s="1"/>
  <c r="D43" i="1" s="1"/>
  <c r="C41" i="1"/>
  <c r="C42" i="1" s="1"/>
  <c r="C43" i="1" s="1"/>
  <c r="D39" i="1"/>
  <c r="C39" i="1"/>
  <c r="B39" i="1"/>
  <c r="E38" i="1"/>
  <c r="E39" i="1" s="1"/>
  <c r="C36" i="1"/>
  <c r="B36" i="1"/>
  <c r="D35" i="1"/>
  <c r="D36" i="1" s="1"/>
  <c r="D33" i="1"/>
  <c r="C33" i="1"/>
  <c r="B33" i="1"/>
  <c r="E32" i="1"/>
  <c r="E33" i="1" s="1"/>
  <c r="D29" i="1"/>
  <c r="D30" i="1" s="1"/>
  <c r="C29" i="1"/>
  <c r="C30" i="1" s="1"/>
  <c r="B29" i="1"/>
  <c r="B30" i="1" s="1"/>
  <c r="E28" i="1"/>
  <c r="E27" i="1"/>
  <c r="E26" i="1"/>
  <c r="E25" i="1"/>
  <c r="C22" i="1"/>
  <c r="C23" i="1" s="1"/>
  <c r="B22" i="1"/>
  <c r="B23" i="1" s="1"/>
  <c r="E21" i="1"/>
  <c r="D21" i="1"/>
  <c r="E20" i="1"/>
  <c r="D19" i="1"/>
  <c r="E19" i="1" s="1"/>
  <c r="E18" i="1"/>
  <c r="D17" i="1"/>
  <c r="E17" i="1" s="1"/>
  <c r="D14" i="1"/>
  <c r="C14" i="1"/>
  <c r="B14" i="1"/>
  <c r="E13" i="1"/>
  <c r="E14" i="1" s="1"/>
  <c r="C11" i="1"/>
  <c r="B11" i="1"/>
  <c r="E10" i="1"/>
  <c r="E9" i="1"/>
  <c r="E8" i="1"/>
  <c r="E7" i="1"/>
  <c r="E6" i="1"/>
  <c r="E11" i="1" s="1"/>
  <c r="D6" i="1"/>
  <c r="D11" i="1" s="1"/>
  <c r="E128" i="1" l="1"/>
  <c r="E129" i="1" s="1"/>
  <c r="D204" i="1"/>
  <c r="B215" i="1"/>
  <c r="D221" i="1"/>
  <c r="E221" i="1" s="1"/>
  <c r="E236" i="1" s="1"/>
  <c r="E237" i="1" s="1"/>
  <c r="E283" i="1" s="1"/>
  <c r="E35" i="1"/>
  <c r="E36" i="1" s="1"/>
  <c r="B15" i="1"/>
  <c r="B44" i="1"/>
  <c r="B70" i="1"/>
  <c r="B90" i="1" s="1"/>
  <c r="B89" i="1"/>
  <c r="C70" i="1"/>
  <c r="E166" i="1"/>
  <c r="C236" i="1"/>
  <c r="C237" i="1" s="1"/>
  <c r="C283" i="1" s="1"/>
  <c r="C44" i="1"/>
  <c r="D63" i="1"/>
  <c r="D64" i="1" s="1"/>
  <c r="C89" i="1"/>
  <c r="D113" i="1"/>
  <c r="D114" i="1" s="1"/>
  <c r="E153" i="1"/>
  <c r="E154" i="1" s="1"/>
  <c r="C188" i="1"/>
  <c r="C189" i="1" s="1"/>
  <c r="E15" i="1"/>
  <c r="E29" i="1"/>
  <c r="E30" i="1" s="1"/>
  <c r="E59" i="1"/>
  <c r="E63" i="1" s="1"/>
  <c r="E64" i="1" s="1"/>
  <c r="B76" i="1"/>
  <c r="E95" i="1"/>
  <c r="E113" i="1" s="1"/>
  <c r="E114" i="1" s="1"/>
  <c r="D140" i="1"/>
  <c r="D141" i="1" s="1"/>
  <c r="B188" i="1"/>
  <c r="B189" i="1" s="1"/>
  <c r="C215" i="1"/>
  <c r="E123" i="1"/>
  <c r="E124" i="1" s="1"/>
  <c r="E133" i="1" s="1"/>
  <c r="B133" i="1"/>
  <c r="E277" i="1"/>
  <c r="E278" i="1" s="1"/>
  <c r="E293" i="1"/>
  <c r="E295" i="1" s="1"/>
  <c r="D22" i="1"/>
  <c r="D23" i="1" s="1"/>
  <c r="D44" i="1" s="1"/>
  <c r="E41" i="1"/>
  <c r="E42" i="1" s="1"/>
  <c r="E43" i="1" s="1"/>
  <c r="E75" i="1"/>
  <c r="D153" i="1"/>
  <c r="D154" i="1" s="1"/>
  <c r="E192" i="1"/>
  <c r="E204" i="1" s="1"/>
  <c r="E215" i="1" s="1"/>
  <c r="B216" i="1"/>
  <c r="E76" i="1"/>
  <c r="E77" i="1"/>
  <c r="D56" i="1"/>
  <c r="D57" i="1" s="1"/>
  <c r="E49" i="1"/>
  <c r="E56" i="1" s="1"/>
  <c r="E57" i="1" s="1"/>
  <c r="E188" i="1"/>
  <c r="E189" i="1" s="1"/>
  <c r="E22" i="1"/>
  <c r="E23" i="1" s="1"/>
  <c r="D77" i="1"/>
  <c r="D133" i="1"/>
  <c r="E138" i="1"/>
  <c r="E140" i="1" s="1"/>
  <c r="E141" i="1" s="1"/>
  <c r="D15" i="1"/>
  <c r="D68" i="1"/>
  <c r="D69" i="1" s="1"/>
  <c r="D214" i="1"/>
  <c r="D215" i="1" s="1"/>
  <c r="E211" i="1"/>
  <c r="E214" i="1" s="1"/>
  <c r="D293" i="1"/>
  <c r="D295" i="1" s="1"/>
  <c r="C15" i="1"/>
  <c r="D188" i="1"/>
  <c r="D262" i="1"/>
  <c r="D263" i="1" s="1"/>
  <c r="B283" i="1"/>
  <c r="B296" i="1" s="1"/>
  <c r="B298" i="1" l="1"/>
  <c r="E216" i="1"/>
  <c r="E296" i="1" s="1"/>
  <c r="D236" i="1"/>
  <c r="D237" i="1" s="1"/>
  <c r="D283" i="1" s="1"/>
  <c r="C216" i="1"/>
  <c r="C296" i="1" s="1"/>
  <c r="C298" i="1" s="1"/>
  <c r="C90" i="1"/>
  <c r="E44" i="1"/>
  <c r="E70" i="1"/>
  <c r="D70" i="1"/>
  <c r="D189" i="1"/>
  <c r="D216" i="1" s="1"/>
  <c r="D86" i="1"/>
  <c r="D296" i="1" l="1"/>
  <c r="E86" i="1"/>
  <c r="E87" i="1" s="1"/>
  <c r="E88" i="1" s="1"/>
  <c r="E89" i="1" s="1"/>
  <c r="E90" i="1" s="1"/>
  <c r="E298" i="1" s="1"/>
  <c r="D87" i="1"/>
  <c r="D88" i="1" s="1"/>
  <c r="D89" i="1" s="1"/>
  <c r="D90" i="1" s="1"/>
  <c r="D298" i="1" s="1"/>
</calcChain>
</file>

<file path=xl/comments1.xml><?xml version="1.0" encoding="utf-8"?>
<comments xmlns="http://schemas.openxmlformats.org/spreadsheetml/2006/main">
  <authors>
    <author>Gizbar</author>
  </authors>
  <commentList>
    <comment ref="D86" authorId="0" shapeId="0">
      <text>
        <r>
          <rPr>
            <b/>
            <sz val="9"/>
            <color indexed="81"/>
            <rFont val="Tahoma"/>
            <family val="2"/>
          </rPr>
          <t>Gizbar:</t>
        </r>
        <r>
          <rPr>
            <sz val="9"/>
            <color indexed="81"/>
            <rFont val="Tahoma"/>
            <family val="2"/>
          </rPr>
          <t xml:space="preserve">
לבדוק</t>
        </r>
      </text>
    </comment>
  </commentList>
</comments>
</file>

<file path=xl/sharedStrings.xml><?xml version="1.0" encoding="utf-8"?>
<sst xmlns="http://schemas.openxmlformats.org/spreadsheetml/2006/main" count="271" uniqueCount="261">
  <si>
    <t>תאור/כרטיס</t>
  </si>
  <si>
    <t>תקציב 2015</t>
  </si>
  <si>
    <t>ביצוע 2015 עד 18/10/15</t>
  </si>
  <si>
    <t>הצעת תקציב 2016</t>
  </si>
  <si>
    <t>הפרש</t>
  </si>
  <si>
    <t>ארנונה למגורים</t>
  </si>
  <si>
    <t>עיקולי בנקים</t>
  </si>
  <si>
    <t>ארנונה לעסקים</t>
  </si>
  <si>
    <t>ריבית הלוואת מדינה 0.3%</t>
  </si>
  <si>
    <t>הנחות ארנונה</t>
  </si>
  <si>
    <t>ארנונות</t>
  </si>
  <si>
    <t>דמי השתתפות במכרזים</t>
  </si>
  <si>
    <t>אגרות</t>
  </si>
  <si>
    <t>1. ס'ה מיסים וארנונה</t>
  </si>
  <si>
    <t>אגרת פינוי אשפה/מחזור</t>
  </si>
  <si>
    <t>אגרת רישיון כלבים</t>
  </si>
  <si>
    <t>אגרת שיחרור כלבים</t>
  </si>
  <si>
    <t>אגרת טיפול במזיקים</t>
  </si>
  <si>
    <t>אגרת ביוב</t>
  </si>
  <si>
    <t>תברואה</t>
  </si>
  <si>
    <t>21. ס'ה תברואה</t>
  </si>
  <si>
    <t>השתת.  משרד הפנים</t>
  </si>
  <si>
    <t>אגרת שילוט</t>
  </si>
  <si>
    <t>אגרות שונות</t>
  </si>
  <si>
    <t>אגרת שמירה</t>
  </si>
  <si>
    <t>שמירה השתת.משטרה</t>
  </si>
  <si>
    <t>שמירה וביטחון</t>
  </si>
  <si>
    <t>21. ס'ה שמירה וביטחו</t>
  </si>
  <si>
    <t>אגרת רישיון בניה</t>
  </si>
  <si>
    <t>23. ס'ה תכנון ובנין</t>
  </si>
  <si>
    <t>השתתפות בסימון דרכים- השתת. מ .תחבורה</t>
  </si>
  <si>
    <t>24. ס'ה נכסים ציבורי</t>
  </si>
  <si>
    <t>הכנסות שונות</t>
  </si>
  <si>
    <t>26. ס'ה שרותים עירונ</t>
  </si>
  <si>
    <t>טיפול במפגעים סביבתיים</t>
  </si>
  <si>
    <t>פיקוח עירוני</t>
  </si>
  <si>
    <t>28. ס'ה פיקוח עירוני</t>
  </si>
  <si>
    <t>2. ס'ה שרותים מקומיי</t>
  </si>
  <si>
    <t>אג"ח גן חובה</t>
  </si>
  <si>
    <t>השתת.מ.החינוך גנ"י</t>
  </si>
  <si>
    <t>השכרת גני ילדים</t>
  </si>
  <si>
    <t>השתת. מ.החינוך בי'ס</t>
  </si>
  <si>
    <t>השתתפות בסייעות</t>
  </si>
  <si>
    <t>קבטי"ם מ.החינוך</t>
  </si>
  <si>
    <t>השתת' מ.החינוך פסיכולוג</t>
  </si>
  <si>
    <t>השתת' מש.חינוך-הסעות</t>
  </si>
  <si>
    <t xml:space="preserve">השתת. מ. התרבות והספורט </t>
  </si>
  <si>
    <t>חינוך</t>
  </si>
  <si>
    <t>31. ס''ה חינוך</t>
  </si>
  <si>
    <t>ספריה</t>
  </si>
  <si>
    <t>צהרון וייל</t>
  </si>
  <si>
    <t>חוגים מרכז וייל</t>
  </si>
  <si>
    <t>הופעות באודיטוריום</t>
  </si>
  <si>
    <t>תרבות</t>
  </si>
  <si>
    <t>32. ס'ה תרבות</t>
  </si>
  <si>
    <t>משרד הרווחה</t>
  </si>
  <si>
    <t>השתת' תושבים מועדון+</t>
  </si>
  <si>
    <t>רווחה</t>
  </si>
  <si>
    <t>34. ס'ה רווחה</t>
  </si>
  <si>
    <t>3. ס'ה מפעלים ממלכתי</t>
  </si>
  <si>
    <t>קנסות חניה</t>
  </si>
  <si>
    <t>קנסות בית משפט</t>
  </si>
  <si>
    <t>כרטיסי חניה</t>
  </si>
  <si>
    <t>תחבורה</t>
  </si>
  <si>
    <t>44. ס'ה תחבורה</t>
  </si>
  <si>
    <t>4. ס'ה מפעלים</t>
  </si>
  <si>
    <t>הכנסות שנים קודמות</t>
  </si>
  <si>
    <t>ריבית</t>
  </si>
  <si>
    <t>ריבית והחזר</t>
  </si>
  <si>
    <t>51. ס'ה ריבית החזר</t>
  </si>
  <si>
    <t>ריבית מהלוואות עובדים</t>
  </si>
  <si>
    <t>הכנסה מותנה ארנונה</t>
  </si>
  <si>
    <t>העברה מיתרות ש.קודמות</t>
  </si>
  <si>
    <t>הע' מקרן פיתוח להנדסה</t>
  </si>
  <si>
    <t>הכנסות מיוחדות</t>
  </si>
  <si>
    <t>59. ס'ה החזר מקרנות</t>
  </si>
  <si>
    <t>5. ס'ה תק. בל.רגילים</t>
  </si>
  <si>
    <t>סה"כ הכנסות</t>
  </si>
  <si>
    <t xml:space="preserve">הוצאות צוק איתן </t>
  </si>
  <si>
    <t>ראש הרשות</t>
  </si>
  <si>
    <t>מבקר פנים</t>
  </si>
  <si>
    <t>יעוץ מערכות מידע</t>
  </si>
  <si>
    <t>מזכירה ראשית</t>
  </si>
  <si>
    <t>מים-כח-חומרי ניקוי</t>
  </si>
  <si>
    <t>אחזקת מכונות משרד</t>
  </si>
  <si>
    <t xml:space="preserve">רכישת ציוד </t>
  </si>
  <si>
    <t>כיבוד</t>
  </si>
  <si>
    <t>השתלמויות עובדים</t>
  </si>
  <si>
    <t>רשומות ועתונות</t>
  </si>
  <si>
    <t>משלוחים ונסיעות</t>
  </si>
  <si>
    <t>טלפון דואר</t>
  </si>
  <si>
    <t>שירותי מיחשוב</t>
  </si>
  <si>
    <t>משרדיות והדפסות</t>
  </si>
  <si>
    <t>מנגנון הוצאות שונות</t>
  </si>
  <si>
    <t>ניהול אתר אינטרנט</t>
  </si>
  <si>
    <t>עלונים והסברה</t>
  </si>
  <si>
    <t>עתון "בכפר"</t>
  </si>
  <si>
    <t>יעוץ משרדים חיצוניים</t>
  </si>
  <si>
    <t>קשרי קהילה</t>
  </si>
  <si>
    <t>יעוץ משפטי שוטף</t>
  </si>
  <si>
    <t>מנהל כללי</t>
  </si>
  <si>
    <t>61. ס'ה מנהל כללי</t>
  </si>
  <si>
    <t>גזבר ומזכיר המועצה</t>
  </si>
  <si>
    <t>ליסינג גזבר מזכיר</t>
  </si>
  <si>
    <t>מזכירת גיזבר</t>
  </si>
  <si>
    <t>רכש</t>
  </si>
  <si>
    <t>יועץ השקעות</t>
  </si>
  <si>
    <t>שרותים-הנה'ח</t>
  </si>
  <si>
    <t>מערכת גביה</t>
  </si>
  <si>
    <t>מנהל כספי</t>
  </si>
  <si>
    <t>62. ס'ה מנהל כספי</t>
  </si>
  <si>
    <t>עמלות והוצאות בנק</t>
  </si>
  <si>
    <t>עמלת כרטיסי אשראי</t>
  </si>
  <si>
    <t>הוצאות מימון</t>
  </si>
  <si>
    <t>63. ס'ה הוצאות מימון</t>
  </si>
  <si>
    <t>פרעון מלוות</t>
  </si>
  <si>
    <t>64. ס'ה פרעון מלוות</t>
  </si>
  <si>
    <t>6. ס'ה הנהלה כללית</t>
  </si>
  <si>
    <t>עובדת ניקיון</t>
  </si>
  <si>
    <t>קבלן אשפה וגזם</t>
  </si>
  <si>
    <t>וטרינר שכר</t>
  </si>
  <si>
    <t>לכידת בעלי חיים</t>
  </si>
  <si>
    <t>הדברת מזיקים-ע'קבלני</t>
  </si>
  <si>
    <t>27. ס'ה תברואה</t>
  </si>
  <si>
    <t>קבלן שמירה</t>
  </si>
  <si>
    <t>פיקוד העורף</t>
  </si>
  <si>
    <t>איגוד ערים לכבאות</t>
  </si>
  <si>
    <t>שכר עוזר קבט</t>
  </si>
  <si>
    <t>קב"ט משמר הכפר</t>
  </si>
  <si>
    <t>ליסינג קב"ט</t>
  </si>
  <si>
    <t>משמר הכפר</t>
  </si>
  <si>
    <t>קב'ט</t>
  </si>
  <si>
    <t>מל'ח / פס'ח</t>
  </si>
  <si>
    <t>יחידת חילוץ</t>
  </si>
  <si>
    <t>72. ס'ה שמירה וביטחו</t>
  </si>
  <si>
    <t>תקשורת-הנדסה</t>
  </si>
  <si>
    <t>רכש, מיחשוב ושרותי תוכנה</t>
  </si>
  <si>
    <t>תכנון  עבודה קבלנים</t>
  </si>
  <si>
    <t>מהנדס הרשות</t>
  </si>
  <si>
    <t>ליסינג מהנדס המועצה</t>
  </si>
  <si>
    <t>מזכירה-מח' הנדסה</t>
  </si>
  <si>
    <t>מזכירה-כללית</t>
  </si>
  <si>
    <t>שמאות מקרקעין</t>
  </si>
  <si>
    <t>רכישת רכב</t>
  </si>
  <si>
    <t>שכר הנדסאית</t>
  </si>
  <si>
    <t>יעוץ מחשוב ותקשורת</t>
  </si>
  <si>
    <t>סגן מהנדס+אדריכל</t>
  </si>
  <si>
    <t>שכר מפקח על עבודות קבלניות</t>
  </si>
  <si>
    <t>אחזקת ביוב</t>
  </si>
  <si>
    <t>אחזקה כללית,מוצרי נייר</t>
  </si>
  <si>
    <t>מיזוג,מעליות,מערכות</t>
  </si>
  <si>
    <t>מאור רחובות, רמזורים</t>
  </si>
  <si>
    <t>יחידה סביבתית</t>
  </si>
  <si>
    <t>תקשוב מחשוב וטכנולוגיה -  יוספה</t>
  </si>
  <si>
    <t>ליסינג יוספה</t>
  </si>
  <si>
    <t>עבודות עפר</t>
  </si>
  <si>
    <t>תשתיות לאומיות</t>
  </si>
  <si>
    <t>הכנת תוכנית אב</t>
  </si>
  <si>
    <t>הוצ' שונות הנדסה</t>
  </si>
  <si>
    <t>שרותי מ.גביה, ה.השבחה</t>
  </si>
  <si>
    <t>תשלום לוועדה מרחבית</t>
  </si>
  <si>
    <t>משפטיות הנדסה</t>
  </si>
  <si>
    <t>עבודות קבלנים - תחזוקת כבישים ומדרכות</t>
  </si>
  <si>
    <t>אחזקת כלי רכב וביטוח</t>
  </si>
  <si>
    <t>איגוד ערים לניקוז</t>
  </si>
  <si>
    <t>עב' קבלנית</t>
  </si>
  <si>
    <t>תכנון ובנין ערים</t>
  </si>
  <si>
    <t>ס'ה תכנון בנין ערים</t>
  </si>
  <si>
    <t>מנהל אחזקה ושמירת הסביבה-שכר</t>
  </si>
  <si>
    <t>שמירת הסביבה - שכר</t>
  </si>
  <si>
    <t>עובדי אחזקה</t>
  </si>
  <si>
    <t>אחזקת כלים גנרטור</t>
  </si>
  <si>
    <t>צריכת מים</t>
  </si>
  <si>
    <t>מיחזור נייר ובקבוקים</t>
  </si>
  <si>
    <t>חברת חשמל</t>
  </si>
  <si>
    <t>רכב 4*4</t>
  </si>
  <si>
    <t>קבלן גינון</t>
  </si>
  <si>
    <t>משתלה</t>
  </si>
  <si>
    <t>עובדי משק-קבלן</t>
  </si>
  <si>
    <t>נכסים ציבוריים</t>
  </si>
  <si>
    <t>כביסה לחיילים</t>
  </si>
  <si>
    <t>ביטוחים</t>
  </si>
  <si>
    <t>שרותים עירוניים שונים</t>
  </si>
  <si>
    <t>מנהל רישוי עסקים</t>
  </si>
  <si>
    <t>פקחים שכר</t>
  </si>
  <si>
    <t>אכיפת חוקי עזר</t>
  </si>
  <si>
    <t>78. ס'ה נכסים ציבורי</t>
  </si>
  <si>
    <t>7. ס'ה שרותים מקומיי</t>
  </si>
  <si>
    <t>שכר סייעות לגננות</t>
  </si>
  <si>
    <t>גננות עובדות מדינה</t>
  </si>
  <si>
    <t>השתתפות אשכול גנים</t>
  </si>
  <si>
    <t>העברת מש' החינוך בגין גנים</t>
  </si>
  <si>
    <t>בי'ס יסודי משותף</t>
  </si>
  <si>
    <t>השתת. מ.החינוך יסודי</t>
  </si>
  <si>
    <t>השתתפות משטרה בשמירה</t>
  </si>
  <si>
    <t>שכ'למ תלמידי חוץ</t>
  </si>
  <si>
    <t>קב'ט בית ספר</t>
  </si>
  <si>
    <t>שפ"י</t>
  </si>
  <si>
    <t>שפ'ח-הוצאות שונות</t>
  </si>
  <si>
    <t>הסעות תלמידים</t>
  </si>
  <si>
    <t>החזר נסיעות תלמידים</t>
  </si>
  <si>
    <t>פעולות ספורט</t>
  </si>
  <si>
    <t>פעולות תרבות- תקציב נוסף לבית הספר</t>
  </si>
  <si>
    <t>תמיכה בתנועות נוער ועמותות ספורט</t>
  </si>
  <si>
    <t>חדש - מדריך נוער דרך רשפון</t>
  </si>
  <si>
    <t>תנועות נוער אחזקה</t>
  </si>
  <si>
    <t>81. ס'ה חינוך</t>
  </si>
  <si>
    <t>חגיגות וטכסים</t>
  </si>
  <si>
    <t>ספרים לספריה</t>
  </si>
  <si>
    <t>ספריה - שונות</t>
  </si>
  <si>
    <t>עוזרים בספריה</t>
  </si>
  <si>
    <t>חשמל ותאורה מת.וייל</t>
  </si>
  <si>
    <t>ציוד לחוגים</t>
  </si>
  <si>
    <t>רכזות תרבות</t>
  </si>
  <si>
    <t>שכר חוגים ומדריכים</t>
  </si>
  <si>
    <t>מדריכי חוגים</t>
  </si>
  <si>
    <t>צהרון וייל-הפעלה</t>
  </si>
  <si>
    <t>צהרון וייל-עב'קבלנית</t>
  </si>
  <si>
    <t>בית ראשונים-הפעלה</t>
  </si>
  <si>
    <t>מנצח המקהלה</t>
  </si>
  <si>
    <t>נקיון מתחם וייל</t>
  </si>
  <si>
    <t>אחזקה - מתחם וייל</t>
  </si>
  <si>
    <t>גופים ייצוגיים</t>
  </si>
  <si>
    <t>מנהלת בית וייל</t>
  </si>
  <si>
    <t>ליסינג מנהלת בית וייל</t>
  </si>
  <si>
    <t>מנהל אחזקה-וייל</t>
  </si>
  <si>
    <t>הוצאות הפעלה</t>
  </si>
  <si>
    <t>אודיטוריום-הוצ.שיווק</t>
  </si>
  <si>
    <t>רכישת מופעים</t>
  </si>
  <si>
    <t>רכזת חוגים</t>
  </si>
  <si>
    <t>82. ס'ה תרבות</t>
  </si>
  <si>
    <t>השתת' למד'א-נט'ן</t>
  </si>
  <si>
    <t>בריאות</t>
  </si>
  <si>
    <t>83. ס'ה בריאות</t>
  </si>
  <si>
    <t>מנהלת השירות הסוציאלי</t>
  </si>
  <si>
    <t>שכר עו"ס נוער</t>
  </si>
  <si>
    <t>הוצאות שונות</t>
  </si>
  <si>
    <t>מלחמה בסמים ואלימות</t>
  </si>
  <si>
    <t>הוצאות רווחה שלא דרך משרד הרווחה</t>
  </si>
  <si>
    <t>רכזת מועדון</t>
  </si>
  <si>
    <t>מועדון +</t>
  </si>
  <si>
    <t>84. ס'ה רווח</t>
  </si>
  <si>
    <t>השתת' במועצה דתית</t>
  </si>
  <si>
    <t>דת</t>
  </si>
  <si>
    <t>85. ס'ה דת</t>
  </si>
  <si>
    <t>8. ס'ה שרו. ממלכתיים</t>
  </si>
  <si>
    <t>פנסיונרים</t>
  </si>
  <si>
    <t>השתת'גמלאים-אוצר</t>
  </si>
  <si>
    <t>הוצאות שנים קודמות</t>
  </si>
  <si>
    <t>הוצאה מותנית</t>
  </si>
  <si>
    <t>הנחות בארנונה</t>
  </si>
  <si>
    <t>הנחות בתשלום מראש</t>
  </si>
  <si>
    <t>הוצאות עודפות</t>
  </si>
  <si>
    <t>רזרבה</t>
  </si>
  <si>
    <t>תשלומים בלתי רגילים</t>
  </si>
  <si>
    <t>99. ס'ה תש' בל.רגילי</t>
  </si>
  <si>
    <t>9. ס'ה מפעלים</t>
  </si>
  <si>
    <t>סה"כ הוצאות</t>
  </si>
  <si>
    <t>עודף / גירעון</t>
  </si>
  <si>
    <t>המועצה המקומית כפר שמריהו</t>
  </si>
  <si>
    <t>תקציב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</si>
</sst>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indexed="8"/>
      <name val="Arial (Hebrew)"/>
      <charset val="177"/>
    </font>
    <font>
      <b/>
      <sz val="10"/>
      <name val="Arial (Hebrew)"/>
      <charset val="177"/>
    </font>
    <font>
      <sz val="11"/>
      <color indexed="8"/>
      <name val="Calibri"/>
      <charset val="204"/>
    </font>
    <font>
      <b/>
      <sz val="11"/>
      <color indexed="8"/>
      <name val="Arial (Hebrew)"/>
      <charset val="177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6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64" fontId="2" fillId="0" borderId="1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right" vertical="top" wrapText="1"/>
    </xf>
    <xf numFmtId="164" fontId="3" fillId="0" borderId="3" xfId="1" applyNumberFormat="1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/>
    </xf>
    <xf numFmtId="164" fontId="2" fillId="0" borderId="5" xfId="1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164" fontId="2" fillId="0" borderId="7" xfId="1" applyNumberFormat="1" applyFont="1" applyFill="1" applyBorder="1" applyAlignment="1">
      <alignment horizontal="right"/>
    </xf>
    <xf numFmtId="165" fontId="4" fillId="0" borderId="8" xfId="1" applyNumberFormat="1" applyFont="1" applyFill="1" applyBorder="1" applyAlignment="1">
      <alignment horizontal="center" wrapText="1"/>
    </xf>
    <xf numFmtId="165" fontId="4" fillId="0" borderId="9" xfId="1" applyNumberFormat="1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right"/>
    </xf>
    <xf numFmtId="164" fontId="2" fillId="0" borderId="11" xfId="1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164" fontId="5" fillId="0" borderId="14" xfId="1" applyNumberFormat="1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164" fontId="2" fillId="0" borderId="16" xfId="1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164" fontId="2" fillId="0" borderId="17" xfId="1" applyNumberFormat="1" applyFont="1" applyFill="1" applyBorder="1" applyAlignment="1">
      <alignment horizontal="right"/>
    </xf>
    <xf numFmtId="164" fontId="2" fillId="0" borderId="18" xfId="1" applyNumberFormat="1" applyFont="1" applyFill="1" applyBorder="1" applyAlignment="1">
      <alignment horizontal="right"/>
    </xf>
    <xf numFmtId="165" fontId="4" fillId="0" borderId="19" xfId="1" applyNumberFormat="1" applyFont="1" applyFill="1" applyBorder="1" applyAlignment="1">
      <alignment horizontal="right" wrapText="1"/>
    </xf>
    <xf numFmtId="164" fontId="5" fillId="0" borderId="3" xfId="0" applyNumberFormat="1" applyFont="1" applyFill="1" applyBorder="1" applyAlignment="1">
      <alignment horizontal="right"/>
    </xf>
    <xf numFmtId="3" fontId="5" fillId="0" borderId="18" xfId="0" applyNumberFormat="1" applyFont="1" applyFill="1" applyBorder="1" applyAlignment="1">
      <alignment horizontal="right"/>
    </xf>
    <xf numFmtId="164" fontId="2" fillId="0" borderId="20" xfId="1" applyNumberFormat="1" applyFont="1" applyFill="1" applyBorder="1" applyAlignment="1">
      <alignment horizontal="right"/>
    </xf>
    <xf numFmtId="43" fontId="2" fillId="0" borderId="11" xfId="1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right"/>
    </xf>
    <xf numFmtId="164" fontId="2" fillId="0" borderId="21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2" fillId="0" borderId="22" xfId="1" applyNumberFormat="1" applyFont="1" applyFill="1" applyBorder="1" applyAlignment="1">
      <alignment horizontal="right"/>
    </xf>
    <xf numFmtId="164" fontId="2" fillId="0" borderId="23" xfId="0" applyNumberFormat="1" applyFont="1" applyFill="1" applyBorder="1" applyAlignment="1">
      <alignment horizontal="right"/>
    </xf>
    <xf numFmtId="3" fontId="2" fillId="0" borderId="24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3" fontId="5" fillId="0" borderId="25" xfId="0" applyNumberFormat="1" applyFont="1" applyFill="1" applyBorder="1" applyAlignment="1">
      <alignment horizontal="right"/>
    </xf>
    <xf numFmtId="164" fontId="2" fillId="0" borderId="4" xfId="1" applyNumberFormat="1" applyFont="1" applyFill="1" applyBorder="1" applyAlignment="1">
      <alignment horizontal="right"/>
    </xf>
    <xf numFmtId="0" fontId="5" fillId="0" borderId="26" xfId="0" applyFont="1" applyFill="1" applyBorder="1" applyAlignment="1">
      <alignment horizontal="right"/>
    </xf>
    <xf numFmtId="164" fontId="5" fillId="0" borderId="27" xfId="0" applyNumberFormat="1" applyFont="1" applyFill="1" applyBorder="1" applyAlignment="1">
      <alignment horizontal="right"/>
    </xf>
    <xf numFmtId="164" fontId="5" fillId="0" borderId="18" xfId="0" applyNumberFormat="1" applyFont="1" applyFill="1" applyBorder="1" applyAlignment="1">
      <alignment horizontal="right"/>
    </xf>
    <xf numFmtId="164" fontId="5" fillId="0" borderId="23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64" fontId="3" fillId="0" borderId="28" xfId="1" applyNumberFormat="1" applyFont="1" applyFill="1" applyBorder="1" applyAlignment="1">
      <alignment horizontal="right" vertical="top" wrapText="1"/>
    </xf>
    <xf numFmtId="164" fontId="2" fillId="0" borderId="6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512;&#1501;\&#1514;&#1511;&#1510;&#1497;&#1489;\&#1512;&#1490;&#1497;&#1500;\2016\&#1488;&#1495;&#1494;&#1511;&#1492;\&#1506;&#1493;&#1514;&#1511;%20&#1513;&#1500;%20&#1506;&#1493;&#1514;&#1511;%20&#1513;&#1500;%20&#1506;&#1493;&#1514;&#1511;%20&#1513;&#1500;%20&#1488;&#1495;&#1494;&#1511;&#1492;%2026.10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512;&#1501;\&#1514;&#1511;&#1510;&#1497;&#1489;\&#1512;&#1490;&#1497;&#1500;\2016\&#1502;&#1512;&#1499;&#1494;%20&#1493;&#1497;&#1497;&#1500;\&#1506;&#1493;&#1514;&#1511;%20&#1513;&#1500;%20&#1489;&#1511;&#1513;&#1492;%20&#1500;&#1514;&#1511;&#1510;&#1497;&#1489;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512;&#1501;\&#1514;&#1511;&#1510;&#1497;&#1489;\&#1512;&#1490;&#1497;&#1500;\2016\&#1489;&#1497;&#1496;&#1495;&#1493;&#1503;\26.10.2015%20&#1514;&#1511;&#1510;&#1497;&#1489;%20&#1489;&#1496;&#1495;&#1493;&#1503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ספקת מים"/>
      <sheetName val="מערכ' ביוב"/>
      <sheetName val="ניקוז"/>
      <sheetName val="נראות הכפר"/>
      <sheetName val="בטיחות בדרכים"/>
      <sheetName val="חשמל מבנים תאורת רחובות"/>
      <sheetName val="מחזור"/>
      <sheetName val="תיחזוק מיטבי"/>
      <sheetName val="סיוע למחלקות"/>
      <sheetName val="פרוייקטים"/>
      <sheetName val="צי רכב"/>
      <sheetName val="איכות הסביבה"/>
      <sheetName val="עובדים ושכר"/>
      <sheetName val="אינטרנט"/>
      <sheetName val="סיכומים"/>
    </sheetNames>
    <sheetDataSet>
      <sheetData sheetId="0" refreshError="1"/>
      <sheetData sheetId="1" refreshError="1">
        <row r="20">
          <cell r="D20">
            <v>46000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">
          <cell r="E7">
            <v>235000</v>
          </cell>
        </row>
        <row r="9">
          <cell r="E9">
            <v>777500</v>
          </cell>
        </row>
        <row r="10">
          <cell r="E10">
            <v>80000</v>
          </cell>
        </row>
        <row r="16">
          <cell r="E16">
            <v>1600000</v>
          </cell>
        </row>
        <row r="18">
          <cell r="E18">
            <v>2552000</v>
          </cell>
        </row>
        <row r="19">
          <cell r="E19">
            <v>186250</v>
          </cell>
        </row>
        <row r="33">
          <cell r="E33">
            <v>225000</v>
          </cell>
        </row>
        <row r="34">
          <cell r="E34">
            <v>88000</v>
          </cell>
        </row>
        <row r="36">
          <cell r="E36">
            <v>320000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תקציב לתצוגה"/>
      <sheetName val="ראשי"/>
      <sheetName val="מופעים"/>
      <sheetName val="חוגים"/>
      <sheetName val="מועדון +"/>
      <sheetName val="ספריה"/>
      <sheetName val="חגיגות וטקסים"/>
      <sheetName val="גופים ייצוגיים"/>
      <sheetName val="בית ראשונים"/>
      <sheetName val="הוצאות הפעלה"/>
      <sheetName val="פירוט אחזקה"/>
      <sheetName val="גיליון1"/>
    </sheetNames>
    <sheetDataSet>
      <sheetData sheetId="0" refreshError="1">
        <row r="16">
          <cell r="H16">
            <v>415000</v>
          </cell>
        </row>
        <row r="17">
          <cell r="H17">
            <v>20000</v>
          </cell>
        </row>
        <row r="26">
          <cell r="C26">
            <v>1200000</v>
          </cell>
          <cell r="D26">
            <v>430000</v>
          </cell>
          <cell r="E26">
            <v>3500000</v>
          </cell>
          <cell r="F26">
            <v>300000</v>
          </cell>
          <cell r="G26">
            <v>2000</v>
          </cell>
          <cell r="I26">
            <v>148000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מירה -קבלן אבטחה"/>
      <sheetName val="משמר הכפר"/>
      <sheetName val="שעת חרום"/>
      <sheetName val="יחידת חילוץ"/>
      <sheetName val="שכר"/>
      <sheetName val="בטיחות בדרכים"/>
      <sheetName val="סה&quot;כ"/>
    </sheetNames>
    <sheetDataSet>
      <sheetData sheetId="0" refreshError="1"/>
      <sheetData sheetId="1" refreshError="1">
        <row r="18">
          <cell r="L18">
            <v>68000</v>
          </cell>
        </row>
      </sheetData>
      <sheetData sheetId="2" refreshError="1"/>
      <sheetData sheetId="3" refreshError="1">
        <row r="22">
          <cell r="L22">
            <v>118000</v>
          </cell>
        </row>
      </sheetData>
      <sheetData sheetId="4" refreshError="1"/>
      <sheetData sheetId="5" refreshError="1"/>
      <sheetData sheetId="6" refreshError="1">
        <row r="3">
          <cell r="C3">
            <v>800000</v>
          </cell>
        </row>
        <row r="7">
          <cell r="C7">
            <v>21000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98"/>
  <sheetViews>
    <sheetView rightToLeft="1" tabSelected="1" workbookViewId="0">
      <selection activeCell="B7" sqref="B7"/>
    </sheetView>
  </sheetViews>
  <sheetFormatPr defaultRowHeight="14.25" x14ac:dyDescent="0.2"/>
  <cols>
    <col min="1" max="1" width="33.875" bestFit="1" customWidth="1"/>
    <col min="2" max="3" width="11.5" bestFit="1" customWidth="1"/>
    <col min="4" max="4" width="13.125" bestFit="1" customWidth="1"/>
    <col min="5" max="5" width="10.5" bestFit="1" customWidth="1"/>
  </cols>
  <sheetData>
    <row r="1" spans="1:5" x14ac:dyDescent="0.2">
      <c r="A1" s="41" t="s">
        <v>259</v>
      </c>
      <c r="B1" s="41"/>
      <c r="C1" s="41"/>
      <c r="D1" s="41"/>
      <c r="E1" s="41"/>
    </row>
    <row r="2" spans="1:5" ht="20.25" x14ac:dyDescent="0.3">
      <c r="A2" s="42" t="s">
        <v>260</v>
      </c>
      <c r="B2" s="42"/>
      <c r="C2" s="42"/>
      <c r="D2" s="42"/>
      <c r="E2" s="42"/>
    </row>
    <row r="3" spans="1:5" ht="15" thickBot="1" x14ac:dyDescent="0.25"/>
    <row r="4" spans="1:5" ht="26.25" thickBot="1" x14ac:dyDescent="0.25">
      <c r="A4" s="44" t="s">
        <v>0</v>
      </c>
      <c r="B4" s="43" t="s">
        <v>1</v>
      </c>
      <c r="C4" s="2" t="s">
        <v>2</v>
      </c>
      <c r="D4" s="2" t="s">
        <v>3</v>
      </c>
      <c r="E4" s="3" t="s">
        <v>4</v>
      </c>
    </row>
    <row r="5" spans="1:5" x14ac:dyDescent="0.2">
      <c r="A5" s="6"/>
      <c r="B5" s="5"/>
      <c r="C5" s="5"/>
      <c r="D5" s="5"/>
      <c r="E5" s="5"/>
    </row>
    <row r="6" spans="1:5" ht="15" x14ac:dyDescent="0.25">
      <c r="A6" s="6" t="s">
        <v>5</v>
      </c>
      <c r="B6" s="7">
        <v>-12921000</v>
      </c>
      <c r="C6" s="8">
        <v>-12004059</v>
      </c>
      <c r="D6" s="7">
        <f>-17550000-D8-D10</f>
        <v>-13310000</v>
      </c>
      <c r="E6" s="7">
        <f t="shared" ref="E6:E10" si="0">+D6-B6</f>
        <v>-389000</v>
      </c>
    </row>
    <row r="7" spans="1:5" ht="15" x14ac:dyDescent="0.25">
      <c r="A7" s="6" t="s">
        <v>6</v>
      </c>
      <c r="B7" s="7"/>
      <c r="C7" s="9">
        <v>-6039</v>
      </c>
      <c r="D7" s="7"/>
      <c r="E7" s="7">
        <f t="shared" si="0"/>
        <v>0</v>
      </c>
    </row>
    <row r="8" spans="1:5" ht="15" x14ac:dyDescent="0.25">
      <c r="A8" s="6" t="s">
        <v>7</v>
      </c>
      <c r="B8" s="7">
        <v>-3335000</v>
      </c>
      <c r="C8" s="9">
        <v>-3713188</v>
      </c>
      <c r="D8" s="7">
        <v>-3700000</v>
      </c>
      <c r="E8" s="7">
        <f t="shared" si="0"/>
        <v>-365000</v>
      </c>
    </row>
    <row r="9" spans="1:5" x14ac:dyDescent="0.2">
      <c r="A9" s="10" t="s">
        <v>8</v>
      </c>
      <c r="B9" s="11">
        <v>-51000</v>
      </c>
      <c r="C9" s="11"/>
      <c r="D9" s="11"/>
      <c r="E9" s="7">
        <f t="shared" si="0"/>
        <v>51000</v>
      </c>
    </row>
    <row r="10" spans="1:5" ht="15" thickBot="1" x14ac:dyDescent="0.25">
      <c r="A10" s="10" t="s">
        <v>9</v>
      </c>
      <c r="B10" s="11">
        <v>-580000.27400000009</v>
      </c>
      <c r="C10" s="11">
        <v>-529686</v>
      </c>
      <c r="D10" s="11">
        <v>-540000</v>
      </c>
      <c r="E10" s="7">
        <f t="shared" si="0"/>
        <v>40000.274000000092</v>
      </c>
    </row>
    <row r="11" spans="1:5" ht="15.75" thickBot="1" x14ac:dyDescent="0.3">
      <c r="A11" s="12" t="s">
        <v>10</v>
      </c>
      <c r="B11" s="13">
        <f t="shared" ref="B11:E11" si="1">SUM(B6:B10)</f>
        <v>-16887000.274</v>
      </c>
      <c r="C11" s="13">
        <f t="shared" si="1"/>
        <v>-16252972</v>
      </c>
      <c r="D11" s="13">
        <f t="shared" si="1"/>
        <v>-17550000</v>
      </c>
      <c r="E11" s="13">
        <f t="shared" si="1"/>
        <v>-662999.72599999991</v>
      </c>
    </row>
    <row r="12" spans="1:5" ht="15" x14ac:dyDescent="0.25">
      <c r="A12" s="14"/>
      <c r="B12" s="15"/>
      <c r="C12" s="15"/>
      <c r="D12" s="15"/>
      <c r="E12" s="15"/>
    </row>
    <row r="13" spans="1:5" ht="15" thickBot="1" x14ac:dyDescent="0.25">
      <c r="A13" s="16" t="s">
        <v>11</v>
      </c>
      <c r="B13" s="17">
        <v>-60000</v>
      </c>
      <c r="C13" s="17">
        <v>-26600</v>
      </c>
      <c r="D13" s="17">
        <v>-30000</v>
      </c>
      <c r="E13" s="7">
        <f>+D13-B13</f>
        <v>30000</v>
      </c>
    </row>
    <row r="14" spans="1:5" ht="15.75" thickBot="1" x14ac:dyDescent="0.3">
      <c r="A14" s="12" t="s">
        <v>12</v>
      </c>
      <c r="B14" s="13">
        <f t="shared" ref="B14:E14" si="2">+B13</f>
        <v>-60000</v>
      </c>
      <c r="C14" s="13">
        <f t="shared" si="2"/>
        <v>-26600</v>
      </c>
      <c r="D14" s="13">
        <f t="shared" si="2"/>
        <v>-30000</v>
      </c>
      <c r="E14" s="13">
        <f t="shared" si="2"/>
        <v>30000</v>
      </c>
    </row>
    <row r="15" spans="1:5" ht="15.75" thickBot="1" x14ac:dyDescent="0.3">
      <c r="A15" s="12" t="s">
        <v>13</v>
      </c>
      <c r="B15" s="18">
        <f t="shared" ref="B15:E15" si="3">+B11+B14</f>
        <v>-16947000.274</v>
      </c>
      <c r="C15" s="18">
        <f t="shared" si="3"/>
        <v>-16279572</v>
      </c>
      <c r="D15" s="18">
        <f t="shared" si="3"/>
        <v>-17580000</v>
      </c>
      <c r="E15" s="18">
        <f t="shared" si="3"/>
        <v>-632999.72599999991</v>
      </c>
    </row>
    <row r="16" spans="1:5" x14ac:dyDescent="0.2">
      <c r="A16" s="4"/>
      <c r="B16" s="5"/>
      <c r="C16" s="5"/>
      <c r="D16" s="5"/>
      <c r="E16" s="5"/>
    </row>
    <row r="17" spans="1:5" x14ac:dyDescent="0.2">
      <c r="A17" s="6" t="s">
        <v>14</v>
      </c>
      <c r="B17" s="7">
        <v>-103000</v>
      </c>
      <c r="C17" s="7">
        <v>-4522</v>
      </c>
      <c r="D17" s="7">
        <f>-54000-26000</f>
        <v>-80000</v>
      </c>
      <c r="E17" s="7">
        <f>+D17-B17</f>
        <v>23000</v>
      </c>
    </row>
    <row r="18" spans="1:5" x14ac:dyDescent="0.2">
      <c r="A18" s="6" t="s">
        <v>15</v>
      </c>
      <c r="B18" s="7">
        <v>-3000</v>
      </c>
      <c r="C18" s="7">
        <v>-15530.6</v>
      </c>
      <c r="D18" s="7">
        <v>-3000</v>
      </c>
      <c r="E18" s="7">
        <f>+D18-B18</f>
        <v>0</v>
      </c>
    </row>
    <row r="19" spans="1:5" x14ac:dyDescent="0.2">
      <c r="A19" s="10" t="s">
        <v>16</v>
      </c>
      <c r="B19" s="19">
        <v>-8000</v>
      </c>
      <c r="C19" s="7">
        <v>-3720.3</v>
      </c>
      <c r="D19" s="7">
        <f>-6000-2000-7000</f>
        <v>-15000</v>
      </c>
      <c r="E19" s="7">
        <f>+D19-B19</f>
        <v>-7000</v>
      </c>
    </row>
    <row r="20" spans="1:5" x14ac:dyDescent="0.2">
      <c r="A20" s="16" t="s">
        <v>17</v>
      </c>
      <c r="B20" s="1">
        <v>-19000</v>
      </c>
      <c r="C20" s="7">
        <v>0</v>
      </c>
      <c r="D20" s="7">
        <v>-19000</v>
      </c>
      <c r="E20" s="7">
        <f>+D20-B20</f>
        <v>0</v>
      </c>
    </row>
    <row r="21" spans="1:5" ht="15.75" thickBot="1" x14ac:dyDescent="0.3">
      <c r="A21" s="16" t="s">
        <v>18</v>
      </c>
      <c r="B21" s="20">
        <v>-40000</v>
      </c>
      <c r="C21" s="21"/>
      <c r="D21" s="20">
        <f>-'[1]מערכ'' ביוב'!$D$20</f>
        <v>-46000</v>
      </c>
      <c r="E21" s="7">
        <f>+D21-B21</f>
        <v>-6000</v>
      </c>
    </row>
    <row r="22" spans="1:5" ht="15.75" thickBot="1" x14ac:dyDescent="0.3">
      <c r="A22" s="12" t="s">
        <v>19</v>
      </c>
      <c r="B22" s="22">
        <f t="shared" ref="B22:E22" si="4">SUM(B17:B21)</f>
        <v>-173000</v>
      </c>
      <c r="C22" s="22">
        <f t="shared" si="4"/>
        <v>-23772.899999999998</v>
      </c>
      <c r="D22" s="13">
        <f t="shared" si="4"/>
        <v>-163000</v>
      </c>
      <c r="E22" s="22">
        <f t="shared" si="4"/>
        <v>10000</v>
      </c>
    </row>
    <row r="23" spans="1:5" ht="15.75" thickBot="1" x14ac:dyDescent="0.3">
      <c r="A23" s="12" t="s">
        <v>20</v>
      </c>
      <c r="B23" s="13">
        <f t="shared" ref="B23:E23" si="5">+B22</f>
        <v>-173000</v>
      </c>
      <c r="C23" s="13">
        <f t="shared" si="5"/>
        <v>-23772.899999999998</v>
      </c>
      <c r="D23" s="13">
        <f t="shared" si="5"/>
        <v>-163000</v>
      </c>
      <c r="E23" s="13">
        <f t="shared" si="5"/>
        <v>10000</v>
      </c>
    </row>
    <row r="24" spans="1:5" x14ac:dyDescent="0.2">
      <c r="A24" s="4" t="s">
        <v>21</v>
      </c>
      <c r="B24" s="5"/>
      <c r="C24" s="5"/>
      <c r="D24" s="5"/>
      <c r="E24" s="5"/>
    </row>
    <row r="25" spans="1:5" x14ac:dyDescent="0.2">
      <c r="A25" s="6" t="s">
        <v>22</v>
      </c>
      <c r="B25" s="7">
        <v>-220000</v>
      </c>
      <c r="C25" s="7">
        <v>-79223</v>
      </c>
      <c r="D25" s="7">
        <v>-150000</v>
      </c>
      <c r="E25" s="7">
        <f>+D25-B25</f>
        <v>70000</v>
      </c>
    </row>
    <row r="26" spans="1:5" x14ac:dyDescent="0.2">
      <c r="A26" s="6" t="s">
        <v>23</v>
      </c>
      <c r="B26" s="7"/>
      <c r="C26" s="7">
        <v>-13984</v>
      </c>
      <c r="D26" s="7"/>
      <c r="E26" s="7">
        <f>+D26-B26</f>
        <v>0</v>
      </c>
    </row>
    <row r="27" spans="1:5" x14ac:dyDescent="0.2">
      <c r="A27" s="6" t="s">
        <v>24</v>
      </c>
      <c r="B27" s="7">
        <v>-520000</v>
      </c>
      <c r="C27" s="7">
        <v>-454104</v>
      </c>
      <c r="D27" s="7">
        <v>-480000</v>
      </c>
      <c r="E27" s="7">
        <f>+D27-B27</f>
        <v>40000</v>
      </c>
    </row>
    <row r="28" spans="1:5" ht="15" thickBot="1" x14ac:dyDescent="0.25">
      <c r="A28" s="6" t="s">
        <v>25</v>
      </c>
      <c r="B28" s="7">
        <v>-60000</v>
      </c>
      <c r="C28" s="7">
        <v>-20387.669999999998</v>
      </c>
      <c r="D28" s="7">
        <v>-26000</v>
      </c>
      <c r="E28" s="7">
        <f>+D28-B28</f>
        <v>34000</v>
      </c>
    </row>
    <row r="29" spans="1:5" ht="15.75" thickBot="1" x14ac:dyDescent="0.3">
      <c r="A29" s="12" t="s">
        <v>26</v>
      </c>
      <c r="B29" s="13">
        <f t="shared" ref="B29:E29" si="6">SUM(B25:B28)</f>
        <v>-800000</v>
      </c>
      <c r="C29" s="13">
        <f t="shared" si="6"/>
        <v>-567698.67000000004</v>
      </c>
      <c r="D29" s="13">
        <f t="shared" si="6"/>
        <v>-656000</v>
      </c>
      <c r="E29" s="13">
        <f t="shared" si="6"/>
        <v>144000</v>
      </c>
    </row>
    <row r="30" spans="1:5" ht="15.75" thickBot="1" x14ac:dyDescent="0.3">
      <c r="A30" s="12" t="s">
        <v>27</v>
      </c>
      <c r="B30" s="13">
        <f t="shared" ref="B30:E30" si="7">+B29</f>
        <v>-800000</v>
      </c>
      <c r="C30" s="13">
        <f t="shared" si="7"/>
        <v>-567698.67000000004</v>
      </c>
      <c r="D30" s="13">
        <f t="shared" si="7"/>
        <v>-656000</v>
      </c>
      <c r="E30" s="22">
        <f t="shared" si="7"/>
        <v>144000</v>
      </c>
    </row>
    <row r="31" spans="1:5" ht="15" thickBot="1" x14ac:dyDescent="0.25">
      <c r="A31" s="4"/>
      <c r="B31" s="5"/>
      <c r="C31" s="5"/>
      <c r="D31" s="5"/>
      <c r="E31" s="5"/>
    </row>
    <row r="32" spans="1:5" ht="15.75" thickBot="1" x14ac:dyDescent="0.3">
      <c r="A32" s="10" t="s">
        <v>28</v>
      </c>
      <c r="B32" s="13">
        <v>-90000</v>
      </c>
      <c r="C32" s="13">
        <v>-34834.699999999997</v>
      </c>
      <c r="D32" s="13">
        <v>-50000</v>
      </c>
      <c r="E32" s="13">
        <f>+D32-B32</f>
        <v>40000</v>
      </c>
    </row>
    <row r="33" spans="1:5" ht="15.75" thickBot="1" x14ac:dyDescent="0.3">
      <c r="A33" s="12" t="s">
        <v>29</v>
      </c>
      <c r="B33" s="23">
        <f t="shared" ref="B33:E33" si="8">B32</f>
        <v>-90000</v>
      </c>
      <c r="C33" s="23">
        <f t="shared" si="8"/>
        <v>-34834.699999999997</v>
      </c>
      <c r="D33" s="23">
        <f t="shared" si="8"/>
        <v>-50000</v>
      </c>
      <c r="E33" s="23">
        <f t="shared" si="8"/>
        <v>40000</v>
      </c>
    </row>
    <row r="34" spans="1:5" x14ac:dyDescent="0.2">
      <c r="A34" s="4"/>
      <c r="B34" s="5"/>
      <c r="C34" s="5"/>
      <c r="D34" s="5"/>
      <c r="E34" s="5"/>
    </row>
    <row r="35" spans="1:5" ht="15" thickBot="1" x14ac:dyDescent="0.25">
      <c r="A35" s="10" t="s">
        <v>30</v>
      </c>
      <c r="B35" s="11">
        <v>-83000</v>
      </c>
      <c r="C35" s="11"/>
      <c r="D35" s="11">
        <f>-120000*0.7</f>
        <v>-84000</v>
      </c>
      <c r="E35" s="7">
        <f>+D35-B35</f>
        <v>-1000</v>
      </c>
    </row>
    <row r="36" spans="1:5" ht="15.75" thickBot="1" x14ac:dyDescent="0.3">
      <c r="A36" s="12" t="s">
        <v>31</v>
      </c>
      <c r="B36" s="18">
        <f t="shared" ref="B36:E36" si="9">+B35</f>
        <v>-83000</v>
      </c>
      <c r="C36" s="18">
        <f t="shared" si="9"/>
        <v>0</v>
      </c>
      <c r="D36" s="18">
        <f t="shared" si="9"/>
        <v>-84000</v>
      </c>
      <c r="E36" s="18">
        <f t="shared" si="9"/>
        <v>-1000</v>
      </c>
    </row>
    <row r="37" spans="1:5" x14ac:dyDescent="0.2">
      <c r="A37" s="4"/>
      <c r="B37" s="5"/>
      <c r="C37" s="5"/>
      <c r="D37" s="5"/>
      <c r="E37" s="5"/>
    </row>
    <row r="38" spans="1:5" ht="15" thickBot="1" x14ac:dyDescent="0.25">
      <c r="A38" s="10" t="s">
        <v>32</v>
      </c>
      <c r="B38" s="11">
        <v>-110000</v>
      </c>
      <c r="C38" s="11">
        <v>-209641</v>
      </c>
      <c r="D38" s="11">
        <v>-150000</v>
      </c>
      <c r="E38" s="7">
        <f>+D38-B38</f>
        <v>-40000</v>
      </c>
    </row>
    <row r="39" spans="1:5" ht="15.75" thickBot="1" x14ac:dyDescent="0.3">
      <c r="A39" s="12" t="s">
        <v>33</v>
      </c>
      <c r="B39" s="18">
        <f t="shared" ref="B39:E39" si="10">+B38</f>
        <v>-110000</v>
      </c>
      <c r="C39" s="18">
        <f t="shared" si="10"/>
        <v>-209641</v>
      </c>
      <c r="D39" s="18">
        <f t="shared" si="10"/>
        <v>-150000</v>
      </c>
      <c r="E39" s="18">
        <f t="shared" si="10"/>
        <v>-40000</v>
      </c>
    </row>
    <row r="40" spans="1:5" x14ac:dyDescent="0.2">
      <c r="A40" s="4"/>
      <c r="B40" s="5"/>
      <c r="C40" s="5"/>
      <c r="D40" s="5"/>
      <c r="E40" s="5"/>
    </row>
    <row r="41" spans="1:5" ht="15" thickBot="1" x14ac:dyDescent="0.25">
      <c r="A41" s="10" t="s">
        <v>34</v>
      </c>
      <c r="B41" s="11">
        <v>-4000</v>
      </c>
      <c r="C41" s="11">
        <f>-1.4-4500</f>
        <v>-4501.3999999999996</v>
      </c>
      <c r="D41" s="11">
        <f>-1500-2500+1000</f>
        <v>-3000</v>
      </c>
      <c r="E41" s="7">
        <f>+D41-B41</f>
        <v>1000</v>
      </c>
    </row>
    <row r="42" spans="1:5" ht="15.75" thickBot="1" x14ac:dyDescent="0.3">
      <c r="A42" s="12" t="s">
        <v>35</v>
      </c>
      <c r="B42" s="13">
        <f t="shared" ref="B42:E43" si="11">+B41</f>
        <v>-4000</v>
      </c>
      <c r="C42" s="13">
        <f t="shared" si="11"/>
        <v>-4501.3999999999996</v>
      </c>
      <c r="D42" s="13">
        <f t="shared" si="11"/>
        <v>-3000</v>
      </c>
      <c r="E42" s="13">
        <f t="shared" si="11"/>
        <v>1000</v>
      </c>
    </row>
    <row r="43" spans="1:5" ht="15.75" thickBot="1" x14ac:dyDescent="0.3">
      <c r="A43" s="12" t="s">
        <v>36</v>
      </c>
      <c r="B43" s="18">
        <f t="shared" si="11"/>
        <v>-4000</v>
      </c>
      <c r="C43" s="18">
        <f t="shared" si="11"/>
        <v>-4501.3999999999996</v>
      </c>
      <c r="D43" s="18">
        <f t="shared" si="11"/>
        <v>-3000</v>
      </c>
      <c r="E43" s="18">
        <f t="shared" si="11"/>
        <v>1000</v>
      </c>
    </row>
    <row r="44" spans="1:5" ht="15.75" thickBot="1" x14ac:dyDescent="0.3">
      <c r="A44" s="12" t="s">
        <v>37</v>
      </c>
      <c r="B44" s="13">
        <f t="shared" ref="B44:E44" si="12">+B23+B30+B33+B36+B39+B43</f>
        <v>-1260000</v>
      </c>
      <c r="C44" s="13">
        <f t="shared" si="12"/>
        <v>-840448.67</v>
      </c>
      <c r="D44" s="13">
        <f t="shared" si="12"/>
        <v>-1106000</v>
      </c>
      <c r="E44" s="22">
        <f t="shared" si="12"/>
        <v>154000</v>
      </c>
    </row>
    <row r="45" spans="1:5" x14ac:dyDescent="0.2">
      <c r="A45" s="4"/>
      <c r="B45" s="5"/>
      <c r="C45" s="5"/>
      <c r="D45" s="5"/>
      <c r="E45" s="5"/>
    </row>
    <row r="46" spans="1:5" x14ac:dyDescent="0.2">
      <c r="A46" s="6" t="s">
        <v>38</v>
      </c>
      <c r="B46" s="7">
        <v>0</v>
      </c>
      <c r="C46" s="7">
        <f>-451.9-5</f>
        <v>-456.9</v>
      </c>
      <c r="D46" s="7">
        <v>0</v>
      </c>
      <c r="E46" s="7">
        <f t="shared" ref="E46:E55" si="13">+D46-B46</f>
        <v>0</v>
      </c>
    </row>
    <row r="47" spans="1:5" x14ac:dyDescent="0.2">
      <c r="A47" s="6" t="s">
        <v>39</v>
      </c>
      <c r="B47" s="7">
        <v>-762999.77</v>
      </c>
      <c r="C47" s="7">
        <v>-511675.04</v>
      </c>
      <c r="D47" s="7">
        <v>-536000</v>
      </c>
      <c r="E47" s="7">
        <f t="shared" si="13"/>
        <v>226999.77000000002</v>
      </c>
    </row>
    <row r="48" spans="1:5" x14ac:dyDescent="0.2">
      <c r="A48" s="6" t="s">
        <v>40</v>
      </c>
      <c r="B48" s="7">
        <v>-72000</v>
      </c>
      <c r="C48" s="7"/>
      <c r="D48" s="7"/>
      <c r="E48" s="7">
        <f t="shared" si="13"/>
        <v>72000</v>
      </c>
    </row>
    <row r="49" spans="1:5" x14ac:dyDescent="0.2">
      <c r="A49" s="6" t="s">
        <v>41</v>
      </c>
      <c r="B49" s="7">
        <v>-360000</v>
      </c>
      <c r="C49" s="7">
        <v>-326685.87</v>
      </c>
      <c r="D49" s="7">
        <f>-380000-43000</f>
        <v>-423000</v>
      </c>
      <c r="E49" s="7">
        <f t="shared" si="13"/>
        <v>-63000</v>
      </c>
    </row>
    <row r="50" spans="1:5" x14ac:dyDescent="0.2">
      <c r="A50" s="6" t="s">
        <v>42</v>
      </c>
      <c r="B50" s="7">
        <v>-213000</v>
      </c>
      <c r="C50" s="7">
        <v>-351.3</v>
      </c>
      <c r="D50" s="7">
        <v>0</v>
      </c>
      <c r="E50" s="7">
        <f t="shared" si="13"/>
        <v>213000</v>
      </c>
    </row>
    <row r="51" spans="1:5" x14ac:dyDescent="0.2">
      <c r="A51" s="6" t="s">
        <v>43</v>
      </c>
      <c r="B51" s="7">
        <v>-36000</v>
      </c>
      <c r="C51" s="7">
        <v>-14617.43</v>
      </c>
      <c r="D51" s="7">
        <v>-20000</v>
      </c>
      <c r="E51" s="7">
        <f t="shared" si="13"/>
        <v>16000</v>
      </c>
    </row>
    <row r="52" spans="1:5" x14ac:dyDescent="0.2">
      <c r="A52" s="6" t="s">
        <v>44</v>
      </c>
      <c r="B52" s="7">
        <v>-87000</v>
      </c>
      <c r="C52" s="7">
        <v>-57777.8</v>
      </c>
      <c r="D52" s="7">
        <v>-90000</v>
      </c>
      <c r="E52" s="7">
        <f t="shared" si="13"/>
        <v>-3000</v>
      </c>
    </row>
    <row r="53" spans="1:5" x14ac:dyDescent="0.2">
      <c r="A53" s="6" t="s">
        <v>42</v>
      </c>
      <c r="B53" s="7">
        <v>-24000</v>
      </c>
      <c r="C53" s="7"/>
      <c r="D53" s="7">
        <f>-60000*0.4</f>
        <v>-24000</v>
      </c>
      <c r="E53" s="7">
        <f t="shared" si="13"/>
        <v>0</v>
      </c>
    </row>
    <row r="54" spans="1:5" x14ac:dyDescent="0.2">
      <c r="A54" s="10" t="s">
        <v>45</v>
      </c>
      <c r="B54" s="11">
        <v>-103000</v>
      </c>
      <c r="C54" s="11">
        <v>37286.36</v>
      </c>
      <c r="D54" s="11">
        <v>-100000</v>
      </c>
      <c r="E54" s="7">
        <f t="shared" si="13"/>
        <v>3000</v>
      </c>
    </row>
    <row r="55" spans="1:5" ht="15" thickBot="1" x14ac:dyDescent="0.25">
      <c r="A55" s="10" t="s">
        <v>46</v>
      </c>
      <c r="B55" s="11">
        <v>-20000</v>
      </c>
      <c r="C55" s="11">
        <v>-38500</v>
      </c>
      <c r="D55" s="11">
        <v>-20000</v>
      </c>
      <c r="E55" s="7">
        <f t="shared" si="13"/>
        <v>0</v>
      </c>
    </row>
    <row r="56" spans="1:5" ht="15.75" thickBot="1" x14ac:dyDescent="0.3">
      <c r="A56" s="12" t="s">
        <v>47</v>
      </c>
      <c r="B56" s="13">
        <f t="shared" ref="B56:E56" si="14">SUM(B46:B55)</f>
        <v>-1677999.77</v>
      </c>
      <c r="C56" s="13">
        <f t="shared" si="14"/>
        <v>-912777.98000000021</v>
      </c>
      <c r="D56" s="13">
        <f t="shared" si="14"/>
        <v>-1213000</v>
      </c>
      <c r="E56" s="13">
        <f t="shared" si="14"/>
        <v>464999.77</v>
      </c>
    </row>
    <row r="57" spans="1:5" ht="15.75" thickBot="1" x14ac:dyDescent="0.3">
      <c r="A57" s="12" t="s">
        <v>48</v>
      </c>
      <c r="B57" s="23">
        <f t="shared" ref="B57:E57" si="15">+B56</f>
        <v>-1677999.77</v>
      </c>
      <c r="C57" s="23">
        <f t="shared" si="15"/>
        <v>-912777.98000000021</v>
      </c>
      <c r="D57" s="23">
        <f t="shared" si="15"/>
        <v>-1213000</v>
      </c>
      <c r="E57" s="23">
        <f t="shared" si="15"/>
        <v>464999.77</v>
      </c>
    </row>
    <row r="58" spans="1:5" x14ac:dyDescent="0.2">
      <c r="A58" s="4"/>
      <c r="B58" s="5"/>
      <c r="C58" s="5"/>
      <c r="D58" s="5"/>
      <c r="E58" s="7">
        <f>+D58-B58</f>
        <v>0</v>
      </c>
    </row>
    <row r="59" spans="1:5" x14ac:dyDescent="0.2">
      <c r="A59" s="6" t="s">
        <v>49</v>
      </c>
      <c r="B59" s="7">
        <v>-2000</v>
      </c>
      <c r="C59" s="7">
        <v>-30</v>
      </c>
      <c r="D59" s="7">
        <f>-'[2]תקציב לתצוגה'!$G$26</f>
        <v>-2000</v>
      </c>
      <c r="E59" s="7">
        <f>+D59-B59</f>
        <v>0</v>
      </c>
    </row>
    <row r="60" spans="1:5" x14ac:dyDescent="0.2">
      <c r="A60" s="6" t="s">
        <v>50</v>
      </c>
      <c r="B60" s="7">
        <v>-380000</v>
      </c>
      <c r="C60" s="7">
        <v>-101542</v>
      </c>
      <c r="D60" s="7">
        <f>-'[2]תקציב לתצוגה'!$D$26</f>
        <v>-430000</v>
      </c>
      <c r="E60" s="7">
        <f>+D60-B60</f>
        <v>-50000</v>
      </c>
    </row>
    <row r="61" spans="1:5" x14ac:dyDescent="0.2">
      <c r="A61" s="6" t="s">
        <v>51</v>
      </c>
      <c r="B61" s="7">
        <v>-3577000</v>
      </c>
      <c r="C61" s="7">
        <v>-2737570</v>
      </c>
      <c r="D61" s="7">
        <f>-'[2]תקציב לתצוגה'!$E$26-130000</f>
        <v>-3630000</v>
      </c>
      <c r="E61" s="7">
        <f>+D61-B61</f>
        <v>-53000</v>
      </c>
    </row>
    <row r="62" spans="1:5" ht="15" thickBot="1" x14ac:dyDescent="0.25">
      <c r="A62" s="6" t="s">
        <v>52</v>
      </c>
      <c r="B62" s="7">
        <v>-1348000</v>
      </c>
      <c r="C62" s="7">
        <v>-680160</v>
      </c>
      <c r="D62" s="7">
        <f>-'[2]תקציב לתצוגה'!$I$26-'[2]תקציב לתצוגה'!$C$26</f>
        <v>-1348000</v>
      </c>
      <c r="E62" s="7">
        <f>+D62-B62</f>
        <v>0</v>
      </c>
    </row>
    <row r="63" spans="1:5" ht="15.75" thickBot="1" x14ac:dyDescent="0.3">
      <c r="A63" s="12" t="s">
        <v>53</v>
      </c>
      <c r="B63" s="13">
        <f t="shared" ref="B63:E63" si="16">SUM(B59:B62)</f>
        <v>-5307000</v>
      </c>
      <c r="C63" s="13">
        <f t="shared" si="16"/>
        <v>-3519302</v>
      </c>
      <c r="D63" s="13">
        <f t="shared" si="16"/>
        <v>-5410000</v>
      </c>
      <c r="E63" s="13">
        <f t="shared" si="16"/>
        <v>-103000</v>
      </c>
    </row>
    <row r="64" spans="1:5" ht="15.75" thickBot="1" x14ac:dyDescent="0.3">
      <c r="A64" s="12" t="s">
        <v>54</v>
      </c>
      <c r="B64" s="18">
        <f t="shared" ref="B64:E64" si="17">+B63</f>
        <v>-5307000</v>
      </c>
      <c r="C64" s="18">
        <f t="shared" si="17"/>
        <v>-3519302</v>
      </c>
      <c r="D64" s="18">
        <f t="shared" si="17"/>
        <v>-5410000</v>
      </c>
      <c r="E64" s="18">
        <f t="shared" si="17"/>
        <v>-103000</v>
      </c>
    </row>
    <row r="65" spans="1:5" x14ac:dyDescent="0.2">
      <c r="A65" s="4"/>
      <c r="B65" s="5"/>
      <c r="C65" s="5"/>
      <c r="D65" s="5"/>
      <c r="E65" s="5"/>
    </row>
    <row r="66" spans="1:5" x14ac:dyDescent="0.2">
      <c r="A66" s="6" t="s">
        <v>55</v>
      </c>
      <c r="B66" s="7">
        <v>-620000</v>
      </c>
      <c r="C66" s="7">
        <v>-290190</v>
      </c>
      <c r="D66" s="7">
        <f>-420000-200000</f>
        <v>-620000</v>
      </c>
      <c r="E66" s="7">
        <f>+D66-B66</f>
        <v>0</v>
      </c>
    </row>
    <row r="67" spans="1:5" ht="15" thickBot="1" x14ac:dyDescent="0.25">
      <c r="A67" s="10" t="s">
        <v>56</v>
      </c>
      <c r="B67" s="11">
        <v>-300000</v>
      </c>
      <c r="C67" s="11">
        <v>-58369</v>
      </c>
      <c r="D67" s="11">
        <f>-'[2]תקציב לתצוגה'!$F$26</f>
        <v>-300000</v>
      </c>
      <c r="E67" s="7">
        <f>+D67-B67</f>
        <v>0</v>
      </c>
    </row>
    <row r="68" spans="1:5" ht="15.75" thickBot="1" x14ac:dyDescent="0.3">
      <c r="A68" s="12" t="s">
        <v>57</v>
      </c>
      <c r="B68" s="13">
        <f t="shared" ref="B68:E68" si="18">SUM(B66:B67)</f>
        <v>-920000</v>
      </c>
      <c r="C68" s="13">
        <f t="shared" si="18"/>
        <v>-348559</v>
      </c>
      <c r="D68" s="13">
        <f t="shared" si="18"/>
        <v>-920000</v>
      </c>
      <c r="E68" s="22">
        <f t="shared" si="18"/>
        <v>0</v>
      </c>
    </row>
    <row r="69" spans="1:5" ht="15.75" thickBot="1" x14ac:dyDescent="0.3">
      <c r="A69" s="12" t="s">
        <v>58</v>
      </c>
      <c r="B69" s="13">
        <f t="shared" ref="B69:E69" si="19">+B68</f>
        <v>-920000</v>
      </c>
      <c r="C69" s="13">
        <f t="shared" si="19"/>
        <v>-348559</v>
      </c>
      <c r="D69" s="13">
        <f t="shared" si="19"/>
        <v>-920000</v>
      </c>
      <c r="E69" s="22">
        <f t="shared" si="19"/>
        <v>0</v>
      </c>
    </row>
    <row r="70" spans="1:5" ht="15.75" thickBot="1" x14ac:dyDescent="0.3">
      <c r="A70" s="12" t="s">
        <v>59</v>
      </c>
      <c r="B70" s="13">
        <f t="shared" ref="B70:E70" si="20">+B57+B64+B69</f>
        <v>-7904999.7699999996</v>
      </c>
      <c r="C70" s="13">
        <f t="shared" si="20"/>
        <v>-4780638.9800000004</v>
      </c>
      <c r="D70" s="13">
        <f t="shared" si="20"/>
        <v>-7543000</v>
      </c>
      <c r="E70" s="22">
        <f t="shared" si="20"/>
        <v>361999.77</v>
      </c>
    </row>
    <row r="71" spans="1:5" x14ac:dyDescent="0.2">
      <c r="A71" s="4"/>
      <c r="B71" s="5"/>
      <c r="C71" s="5"/>
      <c r="D71" s="5"/>
      <c r="E71" s="5"/>
    </row>
    <row r="72" spans="1:5" x14ac:dyDescent="0.2">
      <c r="A72" s="6" t="s">
        <v>60</v>
      </c>
      <c r="B72" s="11">
        <v>-900000</v>
      </c>
      <c r="C72" s="11">
        <v>-304089</v>
      </c>
      <c r="D72" s="11">
        <v>-700000</v>
      </c>
      <c r="E72" s="7">
        <f>+D72-B72</f>
        <v>200000</v>
      </c>
    </row>
    <row r="73" spans="1:5" x14ac:dyDescent="0.2">
      <c r="A73" s="16" t="s">
        <v>61</v>
      </c>
      <c r="B73" s="7">
        <v>0</v>
      </c>
      <c r="C73" s="7">
        <v>-13350.4</v>
      </c>
      <c r="D73" s="7"/>
      <c r="E73" s="7">
        <f>+D73-B73</f>
        <v>0</v>
      </c>
    </row>
    <row r="74" spans="1:5" ht="15" thickBot="1" x14ac:dyDescent="0.25">
      <c r="A74" s="16" t="s">
        <v>62</v>
      </c>
      <c r="B74" s="24">
        <v>-300000</v>
      </c>
      <c r="C74" s="24">
        <v>-213019.55</v>
      </c>
      <c r="D74" s="24">
        <v>-250000</v>
      </c>
      <c r="E74" s="7">
        <f>+D74-B74</f>
        <v>50000</v>
      </c>
    </row>
    <row r="75" spans="1:5" ht="15.75" thickBot="1" x14ac:dyDescent="0.3">
      <c r="A75" s="12" t="s">
        <v>63</v>
      </c>
      <c r="B75" s="13">
        <f t="shared" ref="B75:E75" si="21">SUM(B72:B74)</f>
        <v>-1200000</v>
      </c>
      <c r="C75" s="13">
        <f t="shared" si="21"/>
        <v>-530458.94999999995</v>
      </c>
      <c r="D75" s="13">
        <f t="shared" si="21"/>
        <v>-950000</v>
      </c>
      <c r="E75" s="13">
        <f t="shared" si="21"/>
        <v>250000</v>
      </c>
    </row>
    <row r="76" spans="1:5" ht="15.75" thickBot="1" x14ac:dyDescent="0.3">
      <c r="A76" s="12" t="s">
        <v>64</v>
      </c>
      <c r="B76" s="13">
        <f t="shared" ref="B76:E76" si="22">+B75</f>
        <v>-1200000</v>
      </c>
      <c r="C76" s="13">
        <f t="shared" si="22"/>
        <v>-530458.94999999995</v>
      </c>
      <c r="D76" s="13">
        <f t="shared" si="22"/>
        <v>-950000</v>
      </c>
      <c r="E76" s="13">
        <f t="shared" si="22"/>
        <v>250000</v>
      </c>
    </row>
    <row r="77" spans="1:5" ht="15.75" thickBot="1" x14ac:dyDescent="0.3">
      <c r="A77" s="12" t="s">
        <v>65</v>
      </c>
      <c r="B77" s="18">
        <f t="shared" ref="B77:E77" si="23">+B75</f>
        <v>-1200000</v>
      </c>
      <c r="C77" s="18">
        <f t="shared" si="23"/>
        <v>-530458.94999999995</v>
      </c>
      <c r="D77" s="18">
        <f t="shared" si="23"/>
        <v>-950000</v>
      </c>
      <c r="E77" s="18">
        <f t="shared" si="23"/>
        <v>250000</v>
      </c>
    </row>
    <row r="78" spans="1:5" x14ac:dyDescent="0.2">
      <c r="A78" s="4" t="s">
        <v>66</v>
      </c>
      <c r="B78" s="5"/>
      <c r="C78" s="5">
        <v>-88954.84</v>
      </c>
      <c r="D78" s="5"/>
      <c r="E78" s="5"/>
    </row>
    <row r="79" spans="1:5" ht="15" thickBot="1" x14ac:dyDescent="0.25">
      <c r="A79" s="10" t="s">
        <v>67</v>
      </c>
      <c r="B79" s="11">
        <v>-650000</v>
      </c>
      <c r="C79" s="11">
        <v>-650000</v>
      </c>
      <c r="D79" s="11">
        <v>-650000</v>
      </c>
      <c r="E79" s="7">
        <f>+D79-B79</f>
        <v>0</v>
      </c>
    </row>
    <row r="80" spans="1:5" ht="15.75" thickBot="1" x14ac:dyDescent="0.3">
      <c r="A80" s="12" t="s">
        <v>68</v>
      </c>
      <c r="B80" s="13">
        <f>SUM(B79)</f>
        <v>-650000</v>
      </c>
      <c r="C80" s="13">
        <f>SUM(C78:C79)</f>
        <v>-738954.84</v>
      </c>
      <c r="D80" s="13">
        <f>SUM(D79)</f>
        <v>-650000</v>
      </c>
      <c r="E80" s="13">
        <f>+E79</f>
        <v>0</v>
      </c>
    </row>
    <row r="81" spans="1:5" ht="15.75" thickBot="1" x14ac:dyDescent="0.3">
      <c r="A81" s="12" t="s">
        <v>69</v>
      </c>
      <c r="B81" s="13">
        <f>+B80</f>
        <v>-650000</v>
      </c>
      <c r="C81" s="13">
        <f>+C80</f>
        <v>-738954.84</v>
      </c>
      <c r="D81" s="13">
        <f>+D80</f>
        <v>-650000</v>
      </c>
      <c r="E81" s="23">
        <f>+E80</f>
        <v>0</v>
      </c>
    </row>
    <row r="82" spans="1:5" x14ac:dyDescent="0.2">
      <c r="A82" s="4"/>
      <c r="B82" s="5"/>
      <c r="C82" s="5"/>
      <c r="D82" s="5"/>
      <c r="E82" s="5"/>
    </row>
    <row r="83" spans="1:5" x14ac:dyDescent="0.2">
      <c r="A83" s="6" t="s">
        <v>70</v>
      </c>
      <c r="B83" s="7">
        <v>-3000</v>
      </c>
      <c r="C83" s="7">
        <v>-2495</v>
      </c>
      <c r="D83" s="7">
        <v>-3000</v>
      </c>
      <c r="E83" s="7">
        <f>+D83-B83</f>
        <v>0</v>
      </c>
    </row>
    <row r="84" spans="1:5" x14ac:dyDescent="0.2">
      <c r="A84" s="6" t="s">
        <v>71</v>
      </c>
      <c r="B84" s="7">
        <v>-414000</v>
      </c>
      <c r="C84" s="7"/>
      <c r="D84" s="7"/>
      <c r="E84" s="7">
        <f>+D84-B84</f>
        <v>414000</v>
      </c>
    </row>
    <row r="85" spans="1:5" x14ac:dyDescent="0.2">
      <c r="A85" s="6" t="s">
        <v>72</v>
      </c>
      <c r="B85" s="7">
        <v>-132000</v>
      </c>
      <c r="C85" s="7"/>
      <c r="D85" s="7">
        <v>0</v>
      </c>
      <c r="E85" s="7">
        <f>+D85-B85</f>
        <v>132000</v>
      </c>
    </row>
    <row r="86" spans="1:5" ht="15" thickBot="1" x14ac:dyDescent="0.25">
      <c r="A86" s="10" t="s">
        <v>73</v>
      </c>
      <c r="B86" s="11">
        <v>-11073000</v>
      </c>
      <c r="C86" s="11">
        <v>-3106089</v>
      </c>
      <c r="D86" s="25">
        <f>-D188*1.15+D32-100</f>
        <v>-8981000</v>
      </c>
      <c r="E86" s="7">
        <f>+D86-B86</f>
        <v>2092000</v>
      </c>
    </row>
    <row r="87" spans="1:5" ht="15.75" thickBot="1" x14ac:dyDescent="0.3">
      <c r="A87" s="12" t="s">
        <v>74</v>
      </c>
      <c r="B87" s="13">
        <f t="shared" ref="B87:E87" si="24">SUM(B83:B86)</f>
        <v>-11622000</v>
      </c>
      <c r="C87" s="13">
        <f t="shared" si="24"/>
        <v>-3108584</v>
      </c>
      <c r="D87" s="13">
        <f t="shared" si="24"/>
        <v>-8984000</v>
      </c>
      <c r="E87" s="13">
        <f t="shared" si="24"/>
        <v>2638000</v>
      </c>
    </row>
    <row r="88" spans="1:5" ht="15.75" thickBot="1" x14ac:dyDescent="0.3">
      <c r="A88" s="12" t="s">
        <v>75</v>
      </c>
      <c r="B88" s="13">
        <f t="shared" ref="B88:E88" si="25">+B87</f>
        <v>-11622000</v>
      </c>
      <c r="C88" s="13">
        <f t="shared" si="25"/>
        <v>-3108584</v>
      </c>
      <c r="D88" s="13">
        <f t="shared" si="25"/>
        <v>-8984000</v>
      </c>
      <c r="E88" s="18">
        <f t="shared" si="25"/>
        <v>2638000</v>
      </c>
    </row>
    <row r="89" spans="1:5" ht="15.75" thickBot="1" x14ac:dyDescent="0.3">
      <c r="A89" s="12" t="s">
        <v>76</v>
      </c>
      <c r="B89" s="13">
        <f t="shared" ref="B89:E89" si="26">+B81+B88</f>
        <v>-12272000</v>
      </c>
      <c r="C89" s="13">
        <f t="shared" si="26"/>
        <v>-3847538.84</v>
      </c>
      <c r="D89" s="13">
        <f t="shared" si="26"/>
        <v>-9634000</v>
      </c>
      <c r="E89" s="22">
        <f t="shared" si="26"/>
        <v>2638000</v>
      </c>
    </row>
    <row r="90" spans="1:5" ht="15.75" thickBot="1" x14ac:dyDescent="0.3">
      <c r="A90" s="26" t="s">
        <v>77</v>
      </c>
      <c r="B90" s="27">
        <f t="shared" ref="B90:E90" si="27">+B89+B77+B70+B44+B15</f>
        <v>-39584000.044</v>
      </c>
      <c r="C90" s="27">
        <f t="shared" si="27"/>
        <v>-26278657.439999998</v>
      </c>
      <c r="D90" s="27">
        <f t="shared" si="27"/>
        <v>-36813000</v>
      </c>
      <c r="E90" s="28">
        <f t="shared" si="27"/>
        <v>2771000.0440000002</v>
      </c>
    </row>
    <row r="91" spans="1:5" x14ac:dyDescent="0.2">
      <c r="A91" s="4" t="s">
        <v>78</v>
      </c>
      <c r="B91" s="5"/>
      <c r="C91" s="5"/>
      <c r="D91" s="5"/>
      <c r="E91" s="5"/>
    </row>
    <row r="92" spans="1:5" x14ac:dyDescent="0.2">
      <c r="A92" s="6" t="s">
        <v>79</v>
      </c>
      <c r="B92" s="29">
        <v>716000</v>
      </c>
      <c r="C92" s="29">
        <v>518553</v>
      </c>
      <c r="D92" s="29">
        <v>695000</v>
      </c>
      <c r="E92" s="7">
        <f t="shared" ref="E92:E112" si="28">+D92-B92</f>
        <v>-21000</v>
      </c>
    </row>
    <row r="93" spans="1:5" x14ac:dyDescent="0.2">
      <c r="A93" s="6" t="s">
        <v>80</v>
      </c>
      <c r="B93" s="1">
        <v>84000</v>
      </c>
      <c r="C93" s="1">
        <v>71269</v>
      </c>
      <c r="D93" s="1">
        <v>92000</v>
      </c>
      <c r="E93" s="7">
        <f t="shared" si="28"/>
        <v>8000</v>
      </c>
    </row>
    <row r="94" spans="1:5" x14ac:dyDescent="0.2">
      <c r="A94" s="6" t="s">
        <v>81</v>
      </c>
      <c r="B94" s="29">
        <v>50000</v>
      </c>
      <c r="C94" s="29">
        <v>32868</v>
      </c>
      <c r="D94" s="29">
        <v>50000</v>
      </c>
      <c r="E94" s="7">
        <f t="shared" si="28"/>
        <v>0</v>
      </c>
    </row>
    <row r="95" spans="1:5" x14ac:dyDescent="0.2">
      <c r="A95" s="6" t="s">
        <v>82</v>
      </c>
      <c r="B95" s="1">
        <v>84000</v>
      </c>
      <c r="C95" s="1">
        <v>74392</v>
      </c>
      <c r="D95" s="1">
        <f>94000+35000</f>
        <v>129000</v>
      </c>
      <c r="E95" s="7">
        <f t="shared" si="28"/>
        <v>45000</v>
      </c>
    </row>
    <row r="96" spans="1:5" x14ac:dyDescent="0.2">
      <c r="A96" s="6" t="s">
        <v>83</v>
      </c>
      <c r="B96" s="29">
        <v>9000</v>
      </c>
      <c r="C96" s="29">
        <v>4970</v>
      </c>
      <c r="D96" s="29">
        <v>9000</v>
      </c>
      <c r="E96" s="7">
        <f t="shared" si="28"/>
        <v>0</v>
      </c>
    </row>
    <row r="97" spans="1:5" x14ac:dyDescent="0.2">
      <c r="A97" s="6" t="s">
        <v>84</v>
      </c>
      <c r="B97" s="29">
        <v>10000</v>
      </c>
      <c r="C97" s="29">
        <v>4088</v>
      </c>
      <c r="D97" s="29">
        <v>10000</v>
      </c>
      <c r="E97" s="7">
        <f t="shared" si="28"/>
        <v>0</v>
      </c>
    </row>
    <row r="98" spans="1:5" x14ac:dyDescent="0.2">
      <c r="A98" s="6" t="s">
        <v>85</v>
      </c>
      <c r="B98" s="7">
        <v>12000</v>
      </c>
      <c r="C98" s="7">
        <v>9774</v>
      </c>
      <c r="D98" s="7">
        <v>12000</v>
      </c>
      <c r="E98" s="7">
        <f t="shared" si="28"/>
        <v>0</v>
      </c>
    </row>
    <row r="99" spans="1:5" x14ac:dyDescent="0.2">
      <c r="A99" s="6" t="s">
        <v>86</v>
      </c>
      <c r="B99" s="7">
        <v>50000</v>
      </c>
      <c r="C99" s="7">
        <v>31887</v>
      </c>
      <c r="D99" s="7">
        <v>60000</v>
      </c>
      <c r="E99" s="7">
        <f t="shared" si="28"/>
        <v>10000</v>
      </c>
    </row>
    <row r="100" spans="1:5" x14ac:dyDescent="0.2">
      <c r="A100" s="6" t="s">
        <v>87</v>
      </c>
      <c r="B100" s="17">
        <v>150000</v>
      </c>
      <c r="C100" s="30">
        <v>231419</v>
      </c>
      <c r="D100" s="19">
        <v>250000</v>
      </c>
      <c r="E100" s="7">
        <f t="shared" si="28"/>
        <v>100000</v>
      </c>
    </row>
    <row r="101" spans="1:5" x14ac:dyDescent="0.2">
      <c r="A101" s="6" t="s">
        <v>88</v>
      </c>
      <c r="B101" s="31">
        <v>40000</v>
      </c>
      <c r="C101" s="29">
        <v>31907</v>
      </c>
      <c r="D101" s="29">
        <v>40000</v>
      </c>
      <c r="E101" s="7">
        <f t="shared" si="28"/>
        <v>0</v>
      </c>
    </row>
    <row r="102" spans="1:5" x14ac:dyDescent="0.2">
      <c r="A102" s="6" t="s">
        <v>89</v>
      </c>
      <c r="B102" s="31">
        <v>8000</v>
      </c>
      <c r="C102" s="29">
        <v>5355</v>
      </c>
      <c r="D102" s="29">
        <v>8000</v>
      </c>
      <c r="E102" s="7">
        <f t="shared" si="28"/>
        <v>0</v>
      </c>
    </row>
    <row r="103" spans="1:5" x14ac:dyDescent="0.2">
      <c r="A103" s="6" t="s">
        <v>90</v>
      </c>
      <c r="B103" s="31">
        <v>130000</v>
      </c>
      <c r="C103" s="29">
        <v>74434</v>
      </c>
      <c r="D103" s="29">
        <v>139000</v>
      </c>
      <c r="E103" s="7">
        <f t="shared" si="28"/>
        <v>9000</v>
      </c>
    </row>
    <row r="104" spans="1:5" x14ac:dyDescent="0.2">
      <c r="A104" s="6" t="s">
        <v>91</v>
      </c>
      <c r="B104" s="31">
        <v>100000</v>
      </c>
      <c r="C104" s="29">
        <v>124456</v>
      </c>
      <c r="D104" s="29">
        <f>75000</f>
        <v>75000</v>
      </c>
      <c r="E104" s="7">
        <f t="shared" si="28"/>
        <v>-25000</v>
      </c>
    </row>
    <row r="105" spans="1:5" x14ac:dyDescent="0.2">
      <c r="A105" s="6" t="s">
        <v>92</v>
      </c>
      <c r="B105" s="7">
        <v>65000</v>
      </c>
      <c r="C105" s="7">
        <v>39260</v>
      </c>
      <c r="D105" s="7">
        <v>50000</v>
      </c>
      <c r="E105" s="7">
        <f t="shared" si="28"/>
        <v>-15000</v>
      </c>
    </row>
    <row r="106" spans="1:5" x14ac:dyDescent="0.2">
      <c r="A106" s="6" t="s">
        <v>93</v>
      </c>
      <c r="B106" s="7">
        <v>70000</v>
      </c>
      <c r="C106" s="7">
        <v>51105</v>
      </c>
      <c r="D106" s="7">
        <v>70000</v>
      </c>
      <c r="E106" s="7">
        <f t="shared" si="28"/>
        <v>0</v>
      </c>
    </row>
    <row r="107" spans="1:5" x14ac:dyDescent="0.2">
      <c r="A107" s="6" t="s">
        <v>94</v>
      </c>
      <c r="B107" s="7">
        <v>47000</v>
      </c>
      <c r="C107" s="7">
        <v>5664</v>
      </c>
      <c r="D107" s="7">
        <v>47000</v>
      </c>
      <c r="E107" s="7">
        <f t="shared" si="28"/>
        <v>0</v>
      </c>
    </row>
    <row r="108" spans="1:5" x14ac:dyDescent="0.2">
      <c r="A108" s="6" t="s">
        <v>95</v>
      </c>
      <c r="B108" s="7">
        <v>20000</v>
      </c>
      <c r="C108" s="7"/>
      <c r="D108" s="7">
        <v>20000</v>
      </c>
      <c r="E108" s="7">
        <f t="shared" si="28"/>
        <v>0</v>
      </c>
    </row>
    <row r="109" spans="1:5" x14ac:dyDescent="0.2">
      <c r="A109" s="6" t="s">
        <v>96</v>
      </c>
      <c r="B109" s="7">
        <v>26000</v>
      </c>
      <c r="C109" s="7">
        <v>4295</v>
      </c>
      <c r="D109" s="7">
        <v>26000</v>
      </c>
      <c r="E109" s="7">
        <f t="shared" si="28"/>
        <v>0</v>
      </c>
    </row>
    <row r="110" spans="1:5" x14ac:dyDescent="0.2">
      <c r="A110" s="6" t="s">
        <v>97</v>
      </c>
      <c r="B110" s="7">
        <v>60000</v>
      </c>
      <c r="C110" s="7">
        <v>73563</v>
      </c>
      <c r="D110" s="7">
        <v>100000</v>
      </c>
      <c r="E110" s="7">
        <f t="shared" si="28"/>
        <v>40000</v>
      </c>
    </row>
    <row r="111" spans="1:5" x14ac:dyDescent="0.2">
      <c r="A111" s="10" t="s">
        <v>98</v>
      </c>
      <c r="B111" s="1">
        <v>121000</v>
      </c>
      <c r="C111" s="7">
        <v>101217</v>
      </c>
      <c r="D111" s="7">
        <v>131000</v>
      </c>
      <c r="E111" s="7">
        <f t="shared" si="28"/>
        <v>10000</v>
      </c>
    </row>
    <row r="112" spans="1:5" ht="15" thickBot="1" x14ac:dyDescent="0.25">
      <c r="A112" s="10" t="s">
        <v>99</v>
      </c>
      <c r="B112" s="11">
        <v>190000</v>
      </c>
      <c r="C112" s="11">
        <v>2960</v>
      </c>
      <c r="D112" s="11">
        <v>190000</v>
      </c>
      <c r="E112" s="7">
        <f t="shared" si="28"/>
        <v>0</v>
      </c>
    </row>
    <row r="113" spans="1:5" ht="15.75" thickBot="1" x14ac:dyDescent="0.3">
      <c r="A113" s="12" t="s">
        <v>100</v>
      </c>
      <c r="B113" s="13">
        <f>SUM(B92:B112)</f>
        <v>2042000</v>
      </c>
      <c r="C113" s="13">
        <f>SUM(C92:C112)</f>
        <v>1493436</v>
      </c>
      <c r="D113" s="13">
        <f>SUM(D92:D112)</f>
        <v>2203000</v>
      </c>
      <c r="E113" s="22">
        <f>SUM(E92:E112)</f>
        <v>161000</v>
      </c>
    </row>
    <row r="114" spans="1:5" ht="15.75" thickBot="1" x14ac:dyDescent="0.3">
      <c r="A114" s="12" t="s">
        <v>101</v>
      </c>
      <c r="B114" s="13">
        <f t="shared" ref="B114:E114" si="29">+B113</f>
        <v>2042000</v>
      </c>
      <c r="C114" s="13">
        <f t="shared" si="29"/>
        <v>1493436</v>
      </c>
      <c r="D114" s="13">
        <f t="shared" si="29"/>
        <v>2203000</v>
      </c>
      <c r="E114" s="22">
        <f t="shared" si="29"/>
        <v>161000</v>
      </c>
    </row>
    <row r="115" spans="1:5" x14ac:dyDescent="0.2">
      <c r="A115" s="4"/>
      <c r="B115" s="5"/>
      <c r="C115" s="5"/>
      <c r="D115" s="5"/>
      <c r="E115" s="5"/>
    </row>
    <row r="116" spans="1:5" x14ac:dyDescent="0.2">
      <c r="A116" s="6" t="s">
        <v>102</v>
      </c>
      <c r="B116" s="7">
        <v>373000</v>
      </c>
      <c r="C116" s="7">
        <v>243089</v>
      </c>
      <c r="D116" s="7">
        <v>350000</v>
      </c>
      <c r="E116" s="7">
        <f t="shared" ref="E116:E122" si="30">+D116-B116</f>
        <v>-23000</v>
      </c>
    </row>
    <row r="117" spans="1:5" x14ac:dyDescent="0.2">
      <c r="A117" s="6" t="s">
        <v>103</v>
      </c>
      <c r="B117" s="7">
        <v>75000</v>
      </c>
      <c r="C117" s="7">
        <v>45233</v>
      </c>
      <c r="D117" s="7">
        <v>75000</v>
      </c>
      <c r="E117" s="7">
        <f t="shared" si="30"/>
        <v>0</v>
      </c>
    </row>
    <row r="118" spans="1:5" x14ac:dyDescent="0.2">
      <c r="A118" s="6" t="s">
        <v>104</v>
      </c>
      <c r="B118" s="7">
        <v>62000</v>
      </c>
      <c r="C118" s="7">
        <v>101738</v>
      </c>
      <c r="D118" s="7">
        <f>135000-65000</f>
        <v>70000</v>
      </c>
      <c r="E118" s="7">
        <f t="shared" si="30"/>
        <v>8000</v>
      </c>
    </row>
    <row r="119" spans="1:5" x14ac:dyDescent="0.2">
      <c r="A119" s="6" t="s">
        <v>105</v>
      </c>
      <c r="B119" s="7">
        <v>180000</v>
      </c>
      <c r="C119" s="7">
        <f>150000+550000-350000</f>
        <v>350000</v>
      </c>
      <c r="D119" s="7">
        <f>75000+100000</f>
        <v>175000</v>
      </c>
      <c r="E119" s="7">
        <f t="shared" si="30"/>
        <v>-5000</v>
      </c>
    </row>
    <row r="120" spans="1:5" x14ac:dyDescent="0.2">
      <c r="A120" s="6" t="s">
        <v>106</v>
      </c>
      <c r="B120" s="7">
        <v>50000</v>
      </c>
      <c r="C120" s="7">
        <v>32925</v>
      </c>
      <c r="D120" s="7">
        <v>50000</v>
      </c>
      <c r="E120" s="7">
        <f t="shared" si="30"/>
        <v>0</v>
      </c>
    </row>
    <row r="121" spans="1:5" x14ac:dyDescent="0.2">
      <c r="A121" s="6" t="s">
        <v>107</v>
      </c>
      <c r="B121" s="7">
        <v>530000</v>
      </c>
      <c r="C121" s="7">
        <v>379689</v>
      </c>
      <c r="D121" s="7">
        <v>515000</v>
      </c>
      <c r="E121" s="7">
        <f t="shared" si="30"/>
        <v>-15000</v>
      </c>
    </row>
    <row r="122" spans="1:5" ht="15" thickBot="1" x14ac:dyDescent="0.25">
      <c r="A122" s="10" t="s">
        <v>108</v>
      </c>
      <c r="B122" s="11">
        <v>215000</v>
      </c>
      <c r="C122" s="11">
        <v>80353</v>
      </c>
      <c r="D122" s="11">
        <v>150000</v>
      </c>
      <c r="E122" s="7">
        <f t="shared" si="30"/>
        <v>-65000</v>
      </c>
    </row>
    <row r="123" spans="1:5" ht="15.75" thickBot="1" x14ac:dyDescent="0.3">
      <c r="A123" s="12" t="s">
        <v>109</v>
      </c>
      <c r="B123" s="13">
        <f t="shared" ref="B123:E123" si="31">SUM(B116:B122)</f>
        <v>1485000</v>
      </c>
      <c r="C123" s="13">
        <f t="shared" si="31"/>
        <v>1233027</v>
      </c>
      <c r="D123" s="13">
        <f t="shared" si="31"/>
        <v>1385000</v>
      </c>
      <c r="E123" s="22">
        <f t="shared" si="31"/>
        <v>-100000</v>
      </c>
    </row>
    <row r="124" spans="1:5" ht="15.75" thickBot="1" x14ac:dyDescent="0.3">
      <c r="A124" s="12" t="s">
        <v>110</v>
      </c>
      <c r="B124" s="13">
        <f t="shared" ref="B124:E124" si="32">+B123</f>
        <v>1485000</v>
      </c>
      <c r="C124" s="13">
        <f t="shared" si="32"/>
        <v>1233027</v>
      </c>
      <c r="D124" s="13">
        <f t="shared" si="32"/>
        <v>1385000</v>
      </c>
      <c r="E124" s="22">
        <f t="shared" si="32"/>
        <v>-100000</v>
      </c>
    </row>
    <row r="125" spans="1:5" x14ac:dyDescent="0.2">
      <c r="A125" s="4"/>
      <c r="B125" s="5"/>
      <c r="C125" s="5"/>
      <c r="D125" s="5"/>
      <c r="E125" s="5"/>
    </row>
    <row r="126" spans="1:5" x14ac:dyDescent="0.2">
      <c r="A126" s="6" t="s">
        <v>111</v>
      </c>
      <c r="B126" s="7">
        <v>49000</v>
      </c>
      <c r="C126" s="7">
        <v>24136</v>
      </c>
      <c r="D126" s="7">
        <v>35000</v>
      </c>
      <c r="E126" s="7">
        <f>+D126-B126</f>
        <v>-14000</v>
      </c>
    </row>
    <row r="127" spans="1:5" ht="15" thickBot="1" x14ac:dyDescent="0.25">
      <c r="A127" s="10" t="s">
        <v>112</v>
      </c>
      <c r="B127" s="11">
        <v>220000</v>
      </c>
      <c r="C127" s="11">
        <v>155884</v>
      </c>
      <c r="D127" s="11">
        <v>200000</v>
      </c>
      <c r="E127" s="7">
        <f>+D127-B127</f>
        <v>-20000</v>
      </c>
    </row>
    <row r="128" spans="1:5" ht="15.75" thickBot="1" x14ac:dyDescent="0.3">
      <c r="A128" s="12" t="s">
        <v>113</v>
      </c>
      <c r="B128" s="13">
        <f t="shared" ref="B128:E128" si="33">SUM(B126:B127)</f>
        <v>269000</v>
      </c>
      <c r="C128" s="13">
        <f t="shared" si="33"/>
        <v>180020</v>
      </c>
      <c r="D128" s="13">
        <f t="shared" si="33"/>
        <v>235000</v>
      </c>
      <c r="E128" s="22">
        <f t="shared" si="33"/>
        <v>-34000</v>
      </c>
    </row>
    <row r="129" spans="1:5" ht="15.75" thickBot="1" x14ac:dyDescent="0.3">
      <c r="A129" s="12" t="s">
        <v>114</v>
      </c>
      <c r="B129" s="13">
        <f t="shared" ref="B129:E129" si="34">+B128</f>
        <v>269000</v>
      </c>
      <c r="C129" s="13">
        <f t="shared" si="34"/>
        <v>180020</v>
      </c>
      <c r="D129" s="13">
        <f t="shared" si="34"/>
        <v>235000</v>
      </c>
      <c r="E129" s="22">
        <f t="shared" si="34"/>
        <v>-34000</v>
      </c>
    </row>
    <row r="130" spans="1:5" ht="15" thickBot="1" x14ac:dyDescent="0.25">
      <c r="A130" s="16"/>
      <c r="B130" s="32"/>
      <c r="C130" s="32"/>
      <c r="D130" s="32"/>
      <c r="E130" s="33"/>
    </row>
    <row r="131" spans="1:5" ht="15.75" thickBot="1" x14ac:dyDescent="0.3">
      <c r="A131" s="12" t="s">
        <v>115</v>
      </c>
      <c r="B131" s="13"/>
      <c r="C131" s="13"/>
      <c r="D131" s="13"/>
      <c r="E131" s="34"/>
    </row>
    <row r="132" spans="1:5" ht="15.75" thickBot="1" x14ac:dyDescent="0.3">
      <c r="A132" s="12" t="s">
        <v>116</v>
      </c>
      <c r="B132" s="22"/>
      <c r="C132" s="22"/>
      <c r="D132" s="22"/>
      <c r="E132" s="35"/>
    </row>
    <row r="133" spans="1:5" ht="15.75" thickBot="1" x14ac:dyDescent="0.3">
      <c r="A133" s="12" t="s">
        <v>117</v>
      </c>
      <c r="B133" s="13">
        <f t="shared" ref="B133:E133" si="35">+B129+B124+B114</f>
        <v>3796000</v>
      </c>
      <c r="C133" s="13">
        <f t="shared" si="35"/>
        <v>2906483</v>
      </c>
      <c r="D133" s="13">
        <f t="shared" si="35"/>
        <v>3823000</v>
      </c>
      <c r="E133" s="22">
        <f t="shared" si="35"/>
        <v>27000</v>
      </c>
    </row>
    <row r="134" spans="1:5" x14ac:dyDescent="0.2">
      <c r="A134" s="4"/>
      <c r="B134" s="5"/>
      <c r="C134" s="5"/>
      <c r="D134" s="5"/>
      <c r="E134" s="5"/>
    </row>
    <row r="135" spans="1:5" x14ac:dyDescent="0.2">
      <c r="A135" s="6" t="s">
        <v>118</v>
      </c>
      <c r="B135" s="7">
        <v>111000</v>
      </c>
      <c r="C135" s="7">
        <v>92766</v>
      </c>
      <c r="D135" s="7">
        <v>120000</v>
      </c>
      <c r="E135" s="7">
        <f>+D135-B135</f>
        <v>9000</v>
      </c>
    </row>
    <row r="136" spans="1:5" x14ac:dyDescent="0.2">
      <c r="A136" s="6" t="s">
        <v>119</v>
      </c>
      <c r="B136" s="7">
        <v>2400000</v>
      </c>
      <c r="C136" s="7">
        <v>1574345</v>
      </c>
      <c r="D136" s="7">
        <f>[1]סיכומים!$E$18</f>
        <v>2552000</v>
      </c>
      <c r="E136" s="7">
        <f>+D136-B136</f>
        <v>152000</v>
      </c>
    </row>
    <row r="137" spans="1:5" x14ac:dyDescent="0.2">
      <c r="A137" s="6" t="s">
        <v>120</v>
      </c>
      <c r="B137" s="7">
        <v>46000</v>
      </c>
      <c r="C137" s="7">
        <v>34444</v>
      </c>
      <c r="D137" s="7">
        <v>46000</v>
      </c>
      <c r="E137" s="7">
        <f>+D137-B137</f>
        <v>0</v>
      </c>
    </row>
    <row r="138" spans="1:5" x14ac:dyDescent="0.2">
      <c r="A138" s="6" t="s">
        <v>121</v>
      </c>
      <c r="B138" s="7">
        <v>78000</v>
      </c>
      <c r="C138" s="7">
        <v>34220</v>
      </c>
      <c r="D138" s="7">
        <f>[1]סיכומים!$E$34</f>
        <v>88000</v>
      </c>
      <c r="E138" s="7">
        <f>+D138-B138</f>
        <v>10000</v>
      </c>
    </row>
    <row r="139" spans="1:5" ht="15" thickBot="1" x14ac:dyDescent="0.25">
      <c r="A139" s="10" t="s">
        <v>122</v>
      </c>
      <c r="B139" s="11">
        <v>156000</v>
      </c>
      <c r="C139" s="11">
        <v>92328</v>
      </c>
      <c r="D139" s="11">
        <f>[1]סיכומים!$E$33</f>
        <v>225000</v>
      </c>
      <c r="E139" s="7">
        <f>+D139-B139</f>
        <v>69000</v>
      </c>
    </row>
    <row r="140" spans="1:5" ht="15.75" thickBot="1" x14ac:dyDescent="0.3">
      <c r="A140" s="12" t="s">
        <v>19</v>
      </c>
      <c r="B140" s="13">
        <f t="shared" ref="B140:E140" si="36">SUM(B135:B139)</f>
        <v>2791000</v>
      </c>
      <c r="C140" s="13">
        <f t="shared" si="36"/>
        <v>1828103</v>
      </c>
      <c r="D140" s="13">
        <f t="shared" si="36"/>
        <v>3031000</v>
      </c>
      <c r="E140" s="22">
        <f t="shared" si="36"/>
        <v>240000</v>
      </c>
    </row>
    <row r="141" spans="1:5" ht="15.75" thickBot="1" x14ac:dyDescent="0.3">
      <c r="A141" s="12" t="s">
        <v>123</v>
      </c>
      <c r="B141" s="13">
        <f t="shared" ref="B141:E141" si="37">+B140</f>
        <v>2791000</v>
      </c>
      <c r="C141" s="13">
        <f t="shared" si="37"/>
        <v>1828103</v>
      </c>
      <c r="D141" s="13">
        <f t="shared" si="37"/>
        <v>3031000</v>
      </c>
      <c r="E141" s="22">
        <f t="shared" si="37"/>
        <v>240000</v>
      </c>
    </row>
    <row r="142" spans="1:5" x14ac:dyDescent="0.2">
      <c r="A142" s="4"/>
      <c r="B142" s="5"/>
      <c r="C142" s="5"/>
      <c r="D142" s="5"/>
      <c r="E142" s="5"/>
    </row>
    <row r="143" spans="1:5" x14ac:dyDescent="0.2">
      <c r="A143" s="6" t="s">
        <v>124</v>
      </c>
      <c r="B143" s="7">
        <v>948000</v>
      </c>
      <c r="C143" s="7">
        <v>624974</v>
      </c>
      <c r="D143" s="7">
        <f>'[3]סה"כ'!$C$3</f>
        <v>800000</v>
      </c>
      <c r="E143" s="7">
        <f t="shared" ref="E143:E152" si="38">+D143-B143</f>
        <v>-148000</v>
      </c>
    </row>
    <row r="144" spans="1:5" x14ac:dyDescent="0.2">
      <c r="A144" s="6" t="s">
        <v>125</v>
      </c>
      <c r="B144" s="7">
        <v>18000</v>
      </c>
      <c r="C144" s="7"/>
      <c r="D144" s="7">
        <v>10000</v>
      </c>
      <c r="E144" s="7">
        <f t="shared" si="38"/>
        <v>-8000</v>
      </c>
    </row>
    <row r="145" spans="1:5" x14ac:dyDescent="0.2">
      <c r="A145" s="6" t="s">
        <v>126</v>
      </c>
      <c r="B145" s="7">
        <v>100000</v>
      </c>
      <c r="C145" s="7">
        <v>80970</v>
      </c>
      <c r="D145" s="7">
        <v>100000</v>
      </c>
      <c r="E145" s="7">
        <f t="shared" si="38"/>
        <v>0</v>
      </c>
    </row>
    <row r="146" spans="1:5" x14ac:dyDescent="0.2">
      <c r="A146" s="6" t="s">
        <v>127</v>
      </c>
      <c r="B146" s="7">
        <v>0</v>
      </c>
      <c r="C146" s="7">
        <v>41171</v>
      </c>
      <c r="D146" s="7">
        <v>55000</v>
      </c>
      <c r="E146" s="7">
        <f t="shared" si="38"/>
        <v>55000</v>
      </c>
    </row>
    <row r="147" spans="1:5" x14ac:dyDescent="0.2">
      <c r="A147" s="6" t="s">
        <v>128</v>
      </c>
      <c r="B147" s="7">
        <v>126000</v>
      </c>
      <c r="C147" s="7">
        <v>83596</v>
      </c>
      <c r="D147" s="7">
        <v>111000</v>
      </c>
      <c r="E147" s="7">
        <f t="shared" si="38"/>
        <v>-15000</v>
      </c>
    </row>
    <row r="148" spans="1:5" x14ac:dyDescent="0.2">
      <c r="A148" s="6" t="s">
        <v>129</v>
      </c>
      <c r="B148" s="7">
        <v>55000</v>
      </c>
      <c r="C148" s="7">
        <v>31808</v>
      </c>
      <c r="D148" s="7">
        <v>60000</v>
      </c>
      <c r="E148" s="7">
        <f t="shared" si="38"/>
        <v>5000</v>
      </c>
    </row>
    <row r="149" spans="1:5" x14ac:dyDescent="0.2">
      <c r="A149" s="6" t="s">
        <v>130</v>
      </c>
      <c r="B149" s="7">
        <v>136000</v>
      </c>
      <c r="C149" s="7">
        <v>70820</v>
      </c>
      <c r="D149" s="7">
        <f>'[3]משמר הכפר'!$L$18</f>
        <v>68000</v>
      </c>
      <c r="E149" s="7">
        <f t="shared" si="38"/>
        <v>-68000</v>
      </c>
    </row>
    <row r="150" spans="1:5" x14ac:dyDescent="0.2">
      <c r="A150" s="6" t="s">
        <v>131</v>
      </c>
      <c r="B150" s="7">
        <v>64000</v>
      </c>
      <c r="C150" s="7">
        <v>41975</v>
      </c>
      <c r="D150" s="11">
        <v>55000</v>
      </c>
      <c r="E150" s="7">
        <f t="shared" si="38"/>
        <v>-9000</v>
      </c>
    </row>
    <row r="151" spans="1:5" x14ac:dyDescent="0.2">
      <c r="A151" s="10" t="s">
        <v>132</v>
      </c>
      <c r="B151" s="19">
        <v>18000</v>
      </c>
      <c r="C151" s="19">
        <v>4582</v>
      </c>
      <c r="D151" s="1">
        <f>'[3]סה"כ'!$C$7-D144</f>
        <v>11000</v>
      </c>
      <c r="E151" s="29">
        <f t="shared" si="38"/>
        <v>-7000</v>
      </c>
    </row>
    <row r="152" spans="1:5" ht="15" thickBot="1" x14ac:dyDescent="0.25">
      <c r="A152" s="16" t="s">
        <v>133</v>
      </c>
      <c r="B152" s="17">
        <v>152000</v>
      </c>
      <c r="C152" s="17">
        <v>126128</v>
      </c>
      <c r="D152" s="17">
        <f>'[3]יחידת חילוץ'!$L$22</f>
        <v>118000</v>
      </c>
      <c r="E152" s="7">
        <f t="shared" si="38"/>
        <v>-34000</v>
      </c>
    </row>
    <row r="153" spans="1:5" ht="15.75" thickBot="1" x14ac:dyDescent="0.3">
      <c r="A153" s="12" t="s">
        <v>26</v>
      </c>
      <c r="B153" s="13">
        <f t="shared" ref="B153:E153" si="39">SUM(B143:B152)</f>
        <v>1617000</v>
      </c>
      <c r="C153" s="13">
        <f t="shared" si="39"/>
        <v>1106024</v>
      </c>
      <c r="D153" s="13">
        <f t="shared" si="39"/>
        <v>1388000</v>
      </c>
      <c r="E153" s="22">
        <f t="shared" si="39"/>
        <v>-229000</v>
      </c>
    </row>
    <row r="154" spans="1:5" ht="15.75" thickBot="1" x14ac:dyDescent="0.3">
      <c r="A154" s="12" t="s">
        <v>134</v>
      </c>
      <c r="B154" s="13">
        <f t="shared" ref="B154:E154" si="40">+B153</f>
        <v>1617000</v>
      </c>
      <c r="C154" s="13">
        <f t="shared" si="40"/>
        <v>1106024</v>
      </c>
      <c r="D154" s="13">
        <f t="shared" si="40"/>
        <v>1388000</v>
      </c>
      <c r="E154" s="22">
        <f t="shared" si="40"/>
        <v>-229000</v>
      </c>
    </row>
    <row r="155" spans="1:5" x14ac:dyDescent="0.2">
      <c r="A155" s="4"/>
      <c r="B155" s="5"/>
      <c r="C155" s="5"/>
      <c r="D155" s="5"/>
      <c r="E155" s="5"/>
    </row>
    <row r="156" spans="1:5" x14ac:dyDescent="0.2">
      <c r="A156" s="6" t="s">
        <v>135</v>
      </c>
      <c r="B156" s="7">
        <v>10000</v>
      </c>
      <c r="C156" s="7">
        <v>2930</v>
      </c>
      <c r="D156" s="7">
        <v>10000</v>
      </c>
      <c r="E156" s="7">
        <f t="shared" ref="E156:E185" si="41">+D156-B156</f>
        <v>0</v>
      </c>
    </row>
    <row r="157" spans="1:5" x14ac:dyDescent="0.2">
      <c r="A157" s="6" t="s">
        <v>136</v>
      </c>
      <c r="B157" s="7">
        <v>666000</v>
      </c>
      <c r="C157" s="7">
        <v>445742</v>
      </c>
      <c r="D157" s="7">
        <f>103000+275000+25000</f>
        <v>403000</v>
      </c>
      <c r="E157" s="7">
        <f t="shared" si="41"/>
        <v>-263000</v>
      </c>
    </row>
    <row r="158" spans="1:5" x14ac:dyDescent="0.2">
      <c r="A158" s="6" t="s">
        <v>137</v>
      </c>
      <c r="B158" s="7">
        <v>600000</v>
      </c>
      <c r="C158" s="7">
        <v>151127</v>
      </c>
      <c r="D158" s="7">
        <v>600000</v>
      </c>
      <c r="E158" s="7">
        <f t="shared" si="41"/>
        <v>0</v>
      </c>
    </row>
    <row r="159" spans="1:5" x14ac:dyDescent="0.2">
      <c r="A159" s="6" t="s">
        <v>138</v>
      </c>
      <c r="B159" s="7">
        <v>362000</v>
      </c>
      <c r="C159" s="7">
        <v>225782</v>
      </c>
      <c r="D159" s="7">
        <v>301000</v>
      </c>
      <c r="E159" s="7">
        <f t="shared" si="41"/>
        <v>-61000</v>
      </c>
    </row>
    <row r="160" spans="1:5" x14ac:dyDescent="0.2">
      <c r="A160" s="6" t="s">
        <v>139</v>
      </c>
      <c r="B160" s="7">
        <v>0</v>
      </c>
      <c r="C160" s="7"/>
      <c r="D160" s="7">
        <v>0</v>
      </c>
      <c r="E160" s="7">
        <f t="shared" si="41"/>
        <v>0</v>
      </c>
    </row>
    <row r="161" spans="1:5" x14ac:dyDescent="0.2">
      <c r="A161" s="6" t="s">
        <v>140</v>
      </c>
      <c r="B161" s="7">
        <v>101000</v>
      </c>
      <c r="C161" s="7">
        <v>91874</v>
      </c>
      <c r="D161" s="7">
        <v>118000</v>
      </c>
      <c r="E161" s="7">
        <f t="shared" si="41"/>
        <v>17000</v>
      </c>
    </row>
    <row r="162" spans="1:5" x14ac:dyDescent="0.2">
      <c r="A162" s="6" t="s">
        <v>141</v>
      </c>
      <c r="B162" s="7">
        <v>113000</v>
      </c>
      <c r="C162" s="7">
        <v>39602</v>
      </c>
      <c r="D162" s="7">
        <f>30000+53000</f>
        <v>83000</v>
      </c>
      <c r="E162" s="7">
        <f t="shared" si="41"/>
        <v>-30000</v>
      </c>
    </row>
    <row r="163" spans="1:5" x14ac:dyDescent="0.2">
      <c r="A163" s="6" t="s">
        <v>142</v>
      </c>
      <c r="B163" s="7">
        <v>1450000</v>
      </c>
      <c r="C163" s="7">
        <v>412385</v>
      </c>
      <c r="D163" s="7">
        <v>1000000</v>
      </c>
      <c r="E163" s="7">
        <f t="shared" si="41"/>
        <v>-450000</v>
      </c>
    </row>
    <row r="164" spans="1:5" x14ac:dyDescent="0.2">
      <c r="A164" s="6" t="s">
        <v>143</v>
      </c>
      <c r="B164" s="7">
        <v>177000</v>
      </c>
      <c r="C164" s="7"/>
      <c r="D164" s="7">
        <v>140000</v>
      </c>
      <c r="E164" s="7">
        <f t="shared" si="41"/>
        <v>-37000</v>
      </c>
    </row>
    <row r="165" spans="1:5" x14ac:dyDescent="0.2">
      <c r="A165" s="6" t="s">
        <v>144</v>
      </c>
      <c r="B165" s="7">
        <v>132000</v>
      </c>
      <c r="C165" s="7">
        <v>89887</v>
      </c>
      <c r="D165" s="7">
        <v>118000</v>
      </c>
      <c r="E165" s="7">
        <f t="shared" si="41"/>
        <v>-14000</v>
      </c>
    </row>
    <row r="166" spans="1:5" x14ac:dyDescent="0.2">
      <c r="A166" s="6" t="s">
        <v>145</v>
      </c>
      <c r="B166" s="7">
        <f>759000+43000</f>
        <v>802000</v>
      </c>
      <c r="C166" s="7">
        <f>233432+38602</f>
        <v>272034</v>
      </c>
      <c r="D166" s="7">
        <f>75000+267000+120000</f>
        <v>462000</v>
      </c>
      <c r="E166" s="7">
        <f t="shared" si="41"/>
        <v>-340000</v>
      </c>
    </row>
    <row r="167" spans="1:5" x14ac:dyDescent="0.2">
      <c r="A167" s="6" t="s">
        <v>146</v>
      </c>
      <c r="B167" s="7"/>
      <c r="C167" s="7"/>
      <c r="D167" s="7">
        <v>350000</v>
      </c>
      <c r="E167" s="7">
        <f t="shared" si="41"/>
        <v>350000</v>
      </c>
    </row>
    <row r="168" spans="1:5" x14ac:dyDescent="0.2">
      <c r="A168" s="6" t="s">
        <v>147</v>
      </c>
      <c r="B168" s="7">
        <v>140000</v>
      </c>
      <c r="C168" s="7"/>
      <c r="D168" s="7">
        <v>140000</v>
      </c>
      <c r="E168" s="7">
        <f t="shared" si="41"/>
        <v>0</v>
      </c>
    </row>
    <row r="169" spans="1:5" x14ac:dyDescent="0.2">
      <c r="A169" s="6" t="s">
        <v>148</v>
      </c>
      <c r="B169" s="7">
        <v>280000</v>
      </c>
      <c r="C169" s="7">
        <v>140084</v>
      </c>
      <c r="D169" s="7">
        <v>245000</v>
      </c>
      <c r="E169" s="7">
        <f t="shared" si="41"/>
        <v>-35000</v>
      </c>
    </row>
    <row r="170" spans="1:5" x14ac:dyDescent="0.2">
      <c r="A170" s="6" t="s">
        <v>149</v>
      </c>
      <c r="B170" s="7">
        <v>409000</v>
      </c>
      <c r="C170" s="7">
        <v>196931</v>
      </c>
      <c r="D170" s="7">
        <v>370000</v>
      </c>
      <c r="E170" s="7">
        <f t="shared" si="41"/>
        <v>-39000</v>
      </c>
    </row>
    <row r="171" spans="1:5" x14ac:dyDescent="0.2">
      <c r="A171" s="6" t="s">
        <v>150</v>
      </c>
      <c r="B171" s="7">
        <v>80000</v>
      </c>
      <c r="C171" s="7">
        <v>38759</v>
      </c>
      <c r="D171" s="7">
        <v>104000</v>
      </c>
      <c r="E171" s="7">
        <f t="shared" si="41"/>
        <v>24000</v>
      </c>
    </row>
    <row r="172" spans="1:5" x14ac:dyDescent="0.2">
      <c r="A172" s="6" t="s">
        <v>151</v>
      </c>
      <c r="B172" s="7">
        <v>245000</v>
      </c>
      <c r="C172" s="7">
        <f>102237+37137</f>
        <v>139374</v>
      </c>
      <c r="D172" s="7">
        <v>235000</v>
      </c>
      <c r="E172" s="7">
        <f t="shared" si="41"/>
        <v>-10000</v>
      </c>
    </row>
    <row r="173" spans="1:5" x14ac:dyDescent="0.2">
      <c r="A173" s="6" t="s">
        <v>152</v>
      </c>
      <c r="B173" s="7">
        <v>120000</v>
      </c>
      <c r="C173" s="7">
        <v>51450</v>
      </c>
      <c r="D173" s="7">
        <v>120000</v>
      </c>
      <c r="E173" s="7">
        <f t="shared" si="41"/>
        <v>0</v>
      </c>
    </row>
    <row r="174" spans="1:5" x14ac:dyDescent="0.2">
      <c r="A174" s="6" t="s">
        <v>153</v>
      </c>
      <c r="B174" s="7"/>
      <c r="C174" s="7"/>
      <c r="D174" s="7">
        <v>120000</v>
      </c>
      <c r="E174" s="7">
        <f t="shared" si="41"/>
        <v>120000</v>
      </c>
    </row>
    <row r="175" spans="1:5" x14ac:dyDescent="0.2">
      <c r="A175" s="6" t="s">
        <v>154</v>
      </c>
      <c r="B175" s="7"/>
      <c r="C175" s="7"/>
      <c r="D175" s="7">
        <v>52000</v>
      </c>
      <c r="E175" s="7">
        <f t="shared" si="41"/>
        <v>52000</v>
      </c>
    </row>
    <row r="176" spans="1:5" x14ac:dyDescent="0.2">
      <c r="A176" s="6" t="s">
        <v>155</v>
      </c>
      <c r="B176" s="7">
        <v>14000</v>
      </c>
      <c r="C176" s="7">
        <v>9488</v>
      </c>
      <c r="D176" s="7">
        <v>20000</v>
      </c>
      <c r="E176" s="7">
        <f t="shared" si="41"/>
        <v>6000</v>
      </c>
    </row>
    <row r="177" spans="1:5" x14ac:dyDescent="0.2">
      <c r="A177" s="6" t="s">
        <v>156</v>
      </c>
      <c r="B177" s="7">
        <v>200000</v>
      </c>
      <c r="C177" s="7">
        <v>189657</v>
      </c>
      <c r="D177" s="7">
        <f>200000-100000</f>
        <v>100000</v>
      </c>
      <c r="E177" s="7">
        <f t="shared" si="41"/>
        <v>-100000</v>
      </c>
    </row>
    <row r="178" spans="1:5" x14ac:dyDescent="0.2">
      <c r="A178" s="6" t="s">
        <v>157</v>
      </c>
      <c r="B178" s="7">
        <v>300000</v>
      </c>
      <c r="C178" s="7"/>
      <c r="D178" s="7">
        <v>0</v>
      </c>
      <c r="E178" s="7">
        <f t="shared" si="41"/>
        <v>-300000</v>
      </c>
    </row>
    <row r="179" spans="1:5" x14ac:dyDescent="0.2">
      <c r="A179" s="6" t="s">
        <v>158</v>
      </c>
      <c r="B179" s="7">
        <v>20000</v>
      </c>
      <c r="C179" s="7">
        <v>5138</v>
      </c>
      <c r="D179" s="7">
        <v>20000</v>
      </c>
      <c r="E179" s="7">
        <f t="shared" si="41"/>
        <v>0</v>
      </c>
    </row>
    <row r="180" spans="1:5" x14ac:dyDescent="0.2">
      <c r="A180" s="6" t="s">
        <v>159</v>
      </c>
      <c r="B180" s="7">
        <v>125000</v>
      </c>
      <c r="C180" s="7">
        <v>89276</v>
      </c>
      <c r="D180" s="7">
        <v>130000</v>
      </c>
      <c r="E180" s="7">
        <f t="shared" si="41"/>
        <v>5000</v>
      </c>
    </row>
    <row r="181" spans="1:5" x14ac:dyDescent="0.2">
      <c r="A181" s="6" t="s">
        <v>160</v>
      </c>
      <c r="B181" s="7">
        <v>1200000</v>
      </c>
      <c r="C181" s="7">
        <v>1033000</v>
      </c>
      <c r="D181" s="7">
        <v>600000</v>
      </c>
      <c r="E181" s="7">
        <f t="shared" si="41"/>
        <v>-600000</v>
      </c>
    </row>
    <row r="182" spans="1:5" x14ac:dyDescent="0.2">
      <c r="A182" s="6" t="s">
        <v>161</v>
      </c>
      <c r="B182" s="7">
        <v>650000</v>
      </c>
      <c r="C182" s="7">
        <v>494071</v>
      </c>
      <c r="D182" s="7">
        <f>700000-D112+100000</f>
        <v>610000</v>
      </c>
      <c r="E182" s="7">
        <f t="shared" si="41"/>
        <v>-40000</v>
      </c>
    </row>
    <row r="183" spans="1:5" x14ac:dyDescent="0.2">
      <c r="A183" s="10" t="s">
        <v>162</v>
      </c>
      <c r="B183" s="7">
        <v>654000</v>
      </c>
      <c r="C183" s="7">
        <v>202340</v>
      </c>
      <c r="D183" s="7">
        <f>480000+60000</f>
        <v>540000</v>
      </c>
      <c r="E183" s="7">
        <f t="shared" si="41"/>
        <v>-114000</v>
      </c>
    </row>
    <row r="184" spans="1:5" x14ac:dyDescent="0.2">
      <c r="A184" s="10" t="s">
        <v>163</v>
      </c>
      <c r="B184" s="7">
        <f>306000</f>
        <v>306000</v>
      </c>
      <c r="C184" s="7">
        <f>1216+177351+213516</f>
        <v>392083</v>
      </c>
      <c r="D184" s="7">
        <v>355000</v>
      </c>
      <c r="E184" s="7">
        <f t="shared" si="41"/>
        <v>49000</v>
      </c>
    </row>
    <row r="185" spans="1:5" x14ac:dyDescent="0.2">
      <c r="A185" s="6" t="s">
        <v>164</v>
      </c>
      <c r="B185" s="7">
        <v>16000</v>
      </c>
      <c r="C185" s="7">
        <v>17752</v>
      </c>
      <c r="D185" s="7">
        <v>20000</v>
      </c>
      <c r="E185" s="7">
        <f t="shared" si="41"/>
        <v>4000</v>
      </c>
    </row>
    <row r="186" spans="1:5" x14ac:dyDescent="0.2">
      <c r="A186" s="6" t="s">
        <v>165</v>
      </c>
      <c r="B186" s="7">
        <v>400000</v>
      </c>
      <c r="C186" s="7">
        <f>233169+80</f>
        <v>233249</v>
      </c>
      <c r="D186" s="7">
        <v>400000</v>
      </c>
      <c r="E186" s="7">
        <f>+D186-B186</f>
        <v>0</v>
      </c>
    </row>
    <row r="187" spans="1:5" x14ac:dyDescent="0.2">
      <c r="A187" s="4"/>
      <c r="B187" s="36"/>
      <c r="C187" s="36"/>
      <c r="D187" s="36"/>
      <c r="E187" s="36"/>
    </row>
    <row r="188" spans="1:5" ht="15.75" thickBot="1" x14ac:dyDescent="0.3">
      <c r="A188" s="37" t="s">
        <v>166</v>
      </c>
      <c r="B188" s="38">
        <f t="shared" ref="B188:E188" si="42">SUM(B156:B187)</f>
        <v>9572000</v>
      </c>
      <c r="C188" s="38">
        <f t="shared" si="42"/>
        <v>4964015</v>
      </c>
      <c r="D188" s="38">
        <f t="shared" si="42"/>
        <v>7766000</v>
      </c>
      <c r="E188" s="39">
        <f t="shared" si="42"/>
        <v>-1806000</v>
      </c>
    </row>
    <row r="189" spans="1:5" ht="15.75" thickBot="1" x14ac:dyDescent="0.3">
      <c r="A189" s="12" t="s">
        <v>167</v>
      </c>
      <c r="B189" s="13">
        <f t="shared" ref="B189:E189" si="43">+B188</f>
        <v>9572000</v>
      </c>
      <c r="C189" s="13">
        <f t="shared" si="43"/>
        <v>4964015</v>
      </c>
      <c r="D189" s="13">
        <f t="shared" si="43"/>
        <v>7766000</v>
      </c>
      <c r="E189" s="22">
        <f t="shared" si="43"/>
        <v>-1806000</v>
      </c>
    </row>
    <row r="190" spans="1:5" ht="15" x14ac:dyDescent="0.25">
      <c r="A190" s="14"/>
      <c r="B190" s="5"/>
      <c r="C190" s="5"/>
      <c r="D190" s="5"/>
      <c r="E190" s="5"/>
    </row>
    <row r="191" spans="1:5" x14ac:dyDescent="0.2">
      <c r="A191" s="4" t="s">
        <v>168</v>
      </c>
      <c r="B191" s="5">
        <v>236000</v>
      </c>
      <c r="C191" s="5">
        <v>187708</v>
      </c>
      <c r="D191" s="5">
        <v>255000</v>
      </c>
      <c r="E191" s="7">
        <f t="shared" ref="E191:E203" si="44">+D191-B191</f>
        <v>19000</v>
      </c>
    </row>
    <row r="192" spans="1:5" x14ac:dyDescent="0.2">
      <c r="A192" s="6" t="s">
        <v>169</v>
      </c>
      <c r="B192" s="7">
        <v>287000</v>
      </c>
      <c r="C192" s="7">
        <v>217858</v>
      </c>
      <c r="D192" s="7">
        <f>166000+126000</f>
        <v>292000</v>
      </c>
      <c r="E192" s="7">
        <f t="shared" si="44"/>
        <v>5000</v>
      </c>
    </row>
    <row r="193" spans="1:5" x14ac:dyDescent="0.2">
      <c r="A193" s="6" t="s">
        <v>170</v>
      </c>
      <c r="B193" s="7">
        <v>456000</v>
      </c>
      <c r="C193" s="7">
        <v>274463</v>
      </c>
      <c r="D193" s="7">
        <f>183000+178000</f>
        <v>361000</v>
      </c>
      <c r="E193" s="7">
        <f t="shared" si="44"/>
        <v>-95000</v>
      </c>
    </row>
    <row r="194" spans="1:5" x14ac:dyDescent="0.2">
      <c r="A194" s="6" t="s">
        <v>171</v>
      </c>
      <c r="B194" s="7">
        <v>13000</v>
      </c>
      <c r="C194" s="7"/>
      <c r="D194" s="7">
        <v>0</v>
      </c>
      <c r="E194" s="7">
        <f t="shared" si="44"/>
        <v>-13000</v>
      </c>
    </row>
    <row r="195" spans="1:5" x14ac:dyDescent="0.2">
      <c r="A195" s="6" t="s">
        <v>172</v>
      </c>
      <c r="B195" s="7">
        <v>250000</v>
      </c>
      <c r="C195" s="7">
        <v>68391</v>
      </c>
      <c r="D195" s="7">
        <f>[1]סיכומים!$E$7</f>
        <v>235000</v>
      </c>
      <c r="E195" s="7">
        <f t="shared" si="44"/>
        <v>-15000</v>
      </c>
    </row>
    <row r="196" spans="1:5" x14ac:dyDescent="0.2">
      <c r="A196" s="6" t="s">
        <v>173</v>
      </c>
      <c r="B196" s="7">
        <v>93000</v>
      </c>
      <c r="C196" s="7">
        <v>46626</v>
      </c>
      <c r="D196" s="7">
        <f>[1]סיכומים!$E$19-D173-250</f>
        <v>66000</v>
      </c>
      <c r="E196" s="7">
        <f t="shared" si="44"/>
        <v>-27000</v>
      </c>
    </row>
    <row r="197" spans="1:5" x14ac:dyDescent="0.2">
      <c r="A197" s="6" t="s">
        <v>174</v>
      </c>
      <c r="B197" s="7">
        <v>320000</v>
      </c>
      <c r="C197" s="7">
        <v>227814</v>
      </c>
      <c r="D197" s="7">
        <f>[1]סיכומים!$E$36</f>
        <v>320000</v>
      </c>
      <c r="E197" s="7">
        <f t="shared" si="44"/>
        <v>0</v>
      </c>
    </row>
    <row r="198" spans="1:5" x14ac:dyDescent="0.2">
      <c r="A198" s="6" t="s">
        <v>164</v>
      </c>
      <c r="B198" s="7"/>
      <c r="C198" s="7"/>
      <c r="D198" s="7"/>
      <c r="E198" s="7">
        <f t="shared" si="44"/>
        <v>0</v>
      </c>
    </row>
    <row r="199" spans="1:5" x14ac:dyDescent="0.2">
      <c r="A199" s="6" t="s">
        <v>175</v>
      </c>
      <c r="B199" s="7"/>
      <c r="C199" s="7"/>
      <c r="D199" s="7"/>
      <c r="E199" s="7">
        <f t="shared" si="44"/>
        <v>0</v>
      </c>
    </row>
    <row r="200" spans="1:5" x14ac:dyDescent="0.2">
      <c r="A200" s="6"/>
      <c r="B200" s="7"/>
      <c r="C200" s="7"/>
      <c r="D200" s="7"/>
      <c r="E200" s="7">
        <f t="shared" si="44"/>
        <v>0</v>
      </c>
    </row>
    <row r="201" spans="1:5" x14ac:dyDescent="0.2">
      <c r="A201" s="6" t="s">
        <v>176</v>
      </c>
      <c r="B201" s="7">
        <v>640000</v>
      </c>
      <c r="C201" s="7">
        <v>373723</v>
      </c>
      <c r="D201" s="7">
        <f>[1]סיכומים!$E$9+500-58000</f>
        <v>720000</v>
      </c>
      <c r="E201" s="7">
        <f t="shared" si="44"/>
        <v>80000</v>
      </c>
    </row>
    <row r="202" spans="1:5" x14ac:dyDescent="0.2">
      <c r="A202" s="6" t="s">
        <v>177</v>
      </c>
      <c r="B202" s="7">
        <v>85000</v>
      </c>
      <c r="C202" s="7">
        <v>29984</v>
      </c>
      <c r="D202" s="7">
        <f>[1]סיכומים!$E$10</f>
        <v>80000</v>
      </c>
      <c r="E202" s="7">
        <f t="shared" si="44"/>
        <v>-5000</v>
      </c>
    </row>
    <row r="203" spans="1:5" ht="15" thickBot="1" x14ac:dyDescent="0.25">
      <c r="A203" s="10" t="s">
        <v>178</v>
      </c>
      <c r="B203" s="11">
        <v>1600000</v>
      </c>
      <c r="C203" s="11">
        <v>1277853</v>
      </c>
      <c r="D203" s="11">
        <f>[1]סיכומים!$E$16</f>
        <v>1600000</v>
      </c>
      <c r="E203" s="7">
        <f t="shared" si="44"/>
        <v>0</v>
      </c>
    </row>
    <row r="204" spans="1:5" ht="15.75" thickBot="1" x14ac:dyDescent="0.3">
      <c r="A204" s="12" t="s">
        <v>179</v>
      </c>
      <c r="B204" s="13">
        <f t="shared" ref="B204:E204" si="45">SUM(B191:B203)</f>
        <v>3980000</v>
      </c>
      <c r="C204" s="13">
        <f t="shared" si="45"/>
        <v>2704420</v>
      </c>
      <c r="D204" s="13">
        <f t="shared" si="45"/>
        <v>3929000</v>
      </c>
      <c r="E204" s="22">
        <f t="shared" si="45"/>
        <v>-51000</v>
      </c>
    </row>
    <row r="205" spans="1:5" x14ac:dyDescent="0.2">
      <c r="A205" s="4"/>
      <c r="B205" s="5"/>
      <c r="C205" s="5"/>
      <c r="D205" s="5"/>
      <c r="E205" s="5"/>
    </row>
    <row r="206" spans="1:5" x14ac:dyDescent="0.2">
      <c r="A206" s="6" t="s">
        <v>180</v>
      </c>
      <c r="B206" s="7"/>
      <c r="C206" s="7"/>
      <c r="D206" s="7"/>
      <c r="E206" s="7"/>
    </row>
    <row r="207" spans="1:5" x14ac:dyDescent="0.2">
      <c r="A207" s="6" t="s">
        <v>181</v>
      </c>
      <c r="B207" s="29">
        <v>320000</v>
      </c>
      <c r="C207" s="29">
        <v>499652</v>
      </c>
      <c r="D207" s="29">
        <v>520000</v>
      </c>
      <c r="E207" s="7">
        <f>+D207-B207</f>
        <v>200000</v>
      </c>
    </row>
    <row r="208" spans="1:5" ht="15" thickBot="1" x14ac:dyDescent="0.25">
      <c r="A208" s="10"/>
      <c r="B208" s="17"/>
      <c r="C208" s="17"/>
      <c r="D208" s="17"/>
      <c r="E208" s="17"/>
    </row>
    <row r="209" spans="1:5" ht="15.75" thickBot="1" x14ac:dyDescent="0.3">
      <c r="A209" s="12" t="s">
        <v>182</v>
      </c>
      <c r="B209" s="13">
        <f t="shared" ref="B209:E209" si="46">SUM(B206:B208)</f>
        <v>320000</v>
      </c>
      <c r="C209" s="13">
        <f t="shared" si="46"/>
        <v>499652</v>
      </c>
      <c r="D209" s="13">
        <f t="shared" si="46"/>
        <v>520000</v>
      </c>
      <c r="E209" s="22">
        <f t="shared" si="46"/>
        <v>200000</v>
      </c>
    </row>
    <row r="210" spans="1:5" x14ac:dyDescent="0.2">
      <c r="A210" s="4"/>
      <c r="B210" s="5"/>
      <c r="C210" s="5"/>
      <c r="D210" s="5"/>
      <c r="E210" s="5"/>
    </row>
    <row r="211" spans="1:5" x14ac:dyDescent="0.2">
      <c r="A211" s="6" t="s">
        <v>183</v>
      </c>
      <c r="B211" s="7">
        <v>170000</v>
      </c>
      <c r="C211" s="7">
        <v>149143</v>
      </c>
      <c r="D211" s="7">
        <f>204000-8000</f>
        <v>196000</v>
      </c>
      <c r="E211" s="7">
        <f>+D211-B211</f>
        <v>26000</v>
      </c>
    </row>
    <row r="212" spans="1:5" x14ac:dyDescent="0.2">
      <c r="A212" s="6" t="s">
        <v>184</v>
      </c>
      <c r="B212" s="7">
        <v>287000</v>
      </c>
      <c r="C212" s="7">
        <v>245343</v>
      </c>
      <c r="D212" s="7">
        <f>149000+138000</f>
        <v>287000</v>
      </c>
      <c r="E212" s="7">
        <f>+D212-B212</f>
        <v>0</v>
      </c>
    </row>
    <row r="213" spans="1:5" ht="15" thickBot="1" x14ac:dyDescent="0.25">
      <c r="A213" s="10" t="s">
        <v>185</v>
      </c>
      <c r="B213" s="11">
        <v>570000</v>
      </c>
      <c r="C213" s="11">
        <v>231228</v>
      </c>
      <c r="D213" s="11">
        <v>420000</v>
      </c>
      <c r="E213" s="7">
        <f>+D213-B213</f>
        <v>-150000</v>
      </c>
    </row>
    <row r="214" spans="1:5" ht="15.75" thickBot="1" x14ac:dyDescent="0.3">
      <c r="A214" s="12" t="s">
        <v>35</v>
      </c>
      <c r="B214" s="13">
        <f t="shared" ref="B214:E214" si="47">SUM(B210:B213)</f>
        <v>1027000</v>
      </c>
      <c r="C214" s="13">
        <f t="shared" si="47"/>
        <v>625714</v>
      </c>
      <c r="D214" s="13">
        <f t="shared" si="47"/>
        <v>903000</v>
      </c>
      <c r="E214" s="22">
        <f t="shared" si="47"/>
        <v>-124000</v>
      </c>
    </row>
    <row r="215" spans="1:5" ht="15.75" thickBot="1" x14ac:dyDescent="0.3">
      <c r="A215" s="12" t="s">
        <v>186</v>
      </c>
      <c r="B215" s="13">
        <f t="shared" ref="B215:E215" si="48">+B204+B209+B214</f>
        <v>5327000</v>
      </c>
      <c r="C215" s="13">
        <f t="shared" si="48"/>
        <v>3829786</v>
      </c>
      <c r="D215" s="13">
        <f t="shared" si="48"/>
        <v>5352000</v>
      </c>
      <c r="E215" s="22">
        <f t="shared" si="48"/>
        <v>25000</v>
      </c>
    </row>
    <row r="216" spans="1:5" ht="15.75" thickBot="1" x14ac:dyDescent="0.3">
      <c r="A216" s="12" t="s">
        <v>187</v>
      </c>
      <c r="B216" s="13">
        <f t="shared" ref="B216:E216" si="49">+B215+B189+B154+B141</f>
        <v>19307000</v>
      </c>
      <c r="C216" s="13">
        <f t="shared" si="49"/>
        <v>11727928</v>
      </c>
      <c r="D216" s="13">
        <f t="shared" si="49"/>
        <v>17537000</v>
      </c>
      <c r="E216" s="22">
        <f t="shared" si="49"/>
        <v>-1770000</v>
      </c>
    </row>
    <row r="217" spans="1:5" x14ac:dyDescent="0.2">
      <c r="A217" s="4"/>
      <c r="B217" s="5"/>
      <c r="C217" s="5"/>
      <c r="D217" s="5"/>
      <c r="E217" s="5"/>
    </row>
    <row r="218" spans="1:5" x14ac:dyDescent="0.2">
      <c r="A218" s="6" t="s">
        <v>188</v>
      </c>
      <c r="B218" s="7">
        <v>265000</v>
      </c>
      <c r="C218" s="7">
        <f>45061+45222</f>
        <v>90283</v>
      </c>
      <c r="D218" s="7">
        <v>338000</v>
      </c>
      <c r="E218" s="7">
        <f t="shared" ref="E218:E235" si="50">+D218-B218</f>
        <v>73000</v>
      </c>
    </row>
    <row r="219" spans="1:5" x14ac:dyDescent="0.2">
      <c r="A219" s="6" t="s">
        <v>189</v>
      </c>
      <c r="B219" s="7">
        <v>214000</v>
      </c>
      <c r="C219" s="7">
        <v>103264</v>
      </c>
      <c r="D219" s="7">
        <f>267752+133876+372</f>
        <v>402000</v>
      </c>
      <c r="E219" s="7">
        <f t="shared" si="50"/>
        <v>188000</v>
      </c>
    </row>
    <row r="220" spans="1:5" x14ac:dyDescent="0.2">
      <c r="A220" s="6" t="s">
        <v>190</v>
      </c>
      <c r="B220" s="7">
        <v>104000</v>
      </c>
      <c r="C220" s="7">
        <v>252750</v>
      </c>
      <c r="D220" s="7">
        <v>70000</v>
      </c>
      <c r="E220" s="7">
        <f t="shared" si="50"/>
        <v>-34000</v>
      </c>
    </row>
    <row r="221" spans="1:5" x14ac:dyDescent="0.2">
      <c r="A221" s="6" t="s">
        <v>191</v>
      </c>
      <c r="B221" s="7">
        <v>549000</v>
      </c>
      <c r="C221" s="7">
        <v>475767</v>
      </c>
      <c r="D221" s="7">
        <f>536000-D219</f>
        <v>134000</v>
      </c>
      <c r="E221" s="7">
        <f t="shared" si="50"/>
        <v>-415000</v>
      </c>
    </row>
    <row r="222" spans="1:5" x14ac:dyDescent="0.2">
      <c r="A222" s="6" t="s">
        <v>192</v>
      </c>
      <c r="B222" s="7">
        <v>1496000</v>
      </c>
      <c r="C222" s="7">
        <v>1118007</v>
      </c>
      <c r="D222" s="7">
        <f>1280000+100000+120000-100000</f>
        <v>1400000</v>
      </c>
      <c r="E222" s="7">
        <f t="shared" si="50"/>
        <v>-96000</v>
      </c>
    </row>
    <row r="223" spans="1:5" x14ac:dyDescent="0.2">
      <c r="A223" s="6" t="s">
        <v>193</v>
      </c>
      <c r="B223" s="7">
        <v>373000</v>
      </c>
      <c r="C223" s="7">
        <f>278468+29518</f>
        <v>307986</v>
      </c>
      <c r="D223" s="7">
        <f>380000+43000</f>
        <v>423000</v>
      </c>
      <c r="E223" s="7">
        <f t="shared" si="50"/>
        <v>50000</v>
      </c>
    </row>
    <row r="224" spans="1:5" x14ac:dyDescent="0.2">
      <c r="A224" s="6" t="s">
        <v>194</v>
      </c>
      <c r="B224" s="7">
        <v>40000</v>
      </c>
      <c r="C224" s="7">
        <v>20388</v>
      </c>
      <c r="D224" s="7">
        <v>26000</v>
      </c>
      <c r="E224" s="7">
        <f t="shared" si="50"/>
        <v>-14000</v>
      </c>
    </row>
    <row r="225" spans="1:5" x14ac:dyDescent="0.2">
      <c r="A225" s="6" t="s">
        <v>195</v>
      </c>
      <c r="B225" s="7">
        <v>244000</v>
      </c>
      <c r="C225" s="7">
        <v>344587</v>
      </c>
      <c r="D225" s="7">
        <v>250000</v>
      </c>
      <c r="E225" s="7">
        <f t="shared" si="50"/>
        <v>6000</v>
      </c>
    </row>
    <row r="226" spans="1:5" x14ac:dyDescent="0.2">
      <c r="A226" s="6" t="s">
        <v>196</v>
      </c>
      <c r="B226" s="7">
        <v>62000</v>
      </c>
      <c r="C226" s="7">
        <v>41796</v>
      </c>
      <c r="D226" s="7">
        <v>56000</v>
      </c>
      <c r="E226" s="7">
        <f t="shared" si="50"/>
        <v>-6000</v>
      </c>
    </row>
    <row r="227" spans="1:5" x14ac:dyDescent="0.2">
      <c r="A227" s="6" t="s">
        <v>197</v>
      </c>
      <c r="B227" s="7">
        <v>222000</v>
      </c>
      <c r="C227" s="7">
        <v>163356</v>
      </c>
      <c r="D227" s="7">
        <f>215000+2000</f>
        <v>217000</v>
      </c>
      <c r="E227" s="7">
        <f t="shared" si="50"/>
        <v>-5000</v>
      </c>
    </row>
    <row r="228" spans="1:5" x14ac:dyDescent="0.2">
      <c r="A228" s="6" t="s">
        <v>198</v>
      </c>
      <c r="B228" s="7">
        <v>10000</v>
      </c>
      <c r="C228" s="7">
        <v>3081</v>
      </c>
      <c r="D228" s="7">
        <v>15000</v>
      </c>
      <c r="E228" s="7">
        <f t="shared" si="50"/>
        <v>5000</v>
      </c>
    </row>
    <row r="229" spans="1:5" x14ac:dyDescent="0.2">
      <c r="A229" s="6" t="s">
        <v>199</v>
      </c>
      <c r="B229" s="7">
        <v>200000</v>
      </c>
      <c r="C229" s="7">
        <v>538709</v>
      </c>
      <c r="D229" s="7">
        <v>300000</v>
      </c>
      <c r="E229" s="7">
        <f t="shared" si="50"/>
        <v>100000</v>
      </c>
    </row>
    <row r="230" spans="1:5" x14ac:dyDescent="0.2">
      <c r="A230" s="16" t="s">
        <v>200</v>
      </c>
      <c r="B230" s="7">
        <v>20000</v>
      </c>
      <c r="C230" s="17">
        <v>18990</v>
      </c>
      <c r="D230" s="17">
        <v>20000</v>
      </c>
      <c r="E230" s="7">
        <f t="shared" si="50"/>
        <v>0</v>
      </c>
    </row>
    <row r="231" spans="1:5" x14ac:dyDescent="0.2">
      <c r="A231" s="6" t="s">
        <v>201</v>
      </c>
      <c r="B231" s="7">
        <v>279000</v>
      </c>
      <c r="C231" s="7">
        <v>43232</v>
      </c>
      <c r="D231" s="7">
        <f>357000-50000</f>
        <v>307000</v>
      </c>
      <c r="E231" s="7">
        <f t="shared" si="50"/>
        <v>28000</v>
      </c>
    </row>
    <row r="232" spans="1:5" x14ac:dyDescent="0.2">
      <c r="A232" s="6" t="s">
        <v>202</v>
      </c>
      <c r="B232" s="7"/>
      <c r="C232" s="7">
        <v>370000</v>
      </c>
      <c r="D232" s="7">
        <v>0</v>
      </c>
      <c r="E232" s="7">
        <f t="shared" si="50"/>
        <v>0</v>
      </c>
    </row>
    <row r="233" spans="1:5" x14ac:dyDescent="0.2">
      <c r="A233" s="6" t="s">
        <v>203</v>
      </c>
      <c r="B233" s="7">
        <v>515000</v>
      </c>
      <c r="C233" s="7">
        <v>480000</v>
      </c>
      <c r="D233" s="7">
        <f>140000+375000-168000</f>
        <v>347000</v>
      </c>
      <c r="E233" s="7">
        <f t="shared" si="50"/>
        <v>-168000</v>
      </c>
    </row>
    <row r="234" spans="1:5" x14ac:dyDescent="0.2">
      <c r="A234" s="6" t="s">
        <v>204</v>
      </c>
      <c r="B234" s="7">
        <v>0</v>
      </c>
      <c r="C234" s="7">
        <f>18876*2</f>
        <v>37752</v>
      </c>
      <c r="D234" s="7">
        <v>50000</v>
      </c>
      <c r="E234" s="7">
        <f t="shared" si="50"/>
        <v>50000</v>
      </c>
    </row>
    <row r="235" spans="1:5" ht="15" thickBot="1" x14ac:dyDescent="0.25">
      <c r="A235" s="6" t="s">
        <v>205</v>
      </c>
      <c r="B235" s="7">
        <v>30000</v>
      </c>
      <c r="C235" s="7">
        <v>649</v>
      </c>
      <c r="D235" s="7">
        <v>0</v>
      </c>
      <c r="E235" s="7">
        <f t="shared" si="50"/>
        <v>-30000</v>
      </c>
    </row>
    <row r="236" spans="1:5" ht="15.75" thickBot="1" x14ac:dyDescent="0.3">
      <c r="A236" s="12" t="s">
        <v>47</v>
      </c>
      <c r="B236" s="13">
        <f t="shared" ref="B236:E236" si="51">SUM(B218:B235)</f>
        <v>4623000</v>
      </c>
      <c r="C236" s="13">
        <f t="shared" si="51"/>
        <v>4410597</v>
      </c>
      <c r="D236" s="13">
        <f t="shared" si="51"/>
        <v>4355000</v>
      </c>
      <c r="E236" s="13">
        <f t="shared" si="51"/>
        <v>-268000</v>
      </c>
    </row>
    <row r="237" spans="1:5" ht="15.75" thickBot="1" x14ac:dyDescent="0.3">
      <c r="A237" s="12" t="s">
        <v>206</v>
      </c>
      <c r="B237" s="13">
        <f t="shared" ref="B237:E237" si="52">+B236</f>
        <v>4623000</v>
      </c>
      <c r="C237" s="13">
        <f t="shared" si="52"/>
        <v>4410597</v>
      </c>
      <c r="D237" s="13">
        <f t="shared" si="52"/>
        <v>4355000</v>
      </c>
      <c r="E237" s="22">
        <f t="shared" si="52"/>
        <v>-268000</v>
      </c>
    </row>
    <row r="238" spans="1:5" x14ac:dyDescent="0.2">
      <c r="A238" s="4"/>
      <c r="B238" s="5"/>
      <c r="C238" s="5"/>
      <c r="D238" s="5"/>
      <c r="E238" s="5"/>
    </row>
    <row r="239" spans="1:5" x14ac:dyDescent="0.2">
      <c r="A239" s="6" t="s">
        <v>207</v>
      </c>
      <c r="B239" s="7">
        <v>435000</v>
      </c>
      <c r="C239" s="7">
        <v>429943</v>
      </c>
      <c r="D239" s="7">
        <f>'[2]תקציב לתצוגה'!$H$16+'[2]תקציב לתצוגה'!$H$17</f>
        <v>435000</v>
      </c>
      <c r="E239" s="7">
        <f t="shared" ref="E239:E261" si="53">+D239-B239</f>
        <v>0</v>
      </c>
    </row>
    <row r="240" spans="1:5" x14ac:dyDescent="0.2">
      <c r="A240" s="6" t="s">
        <v>208</v>
      </c>
      <c r="B240" s="7">
        <v>26000</v>
      </c>
      <c r="C240" s="7">
        <v>13338</v>
      </c>
      <c r="D240" s="7">
        <v>26000</v>
      </c>
      <c r="E240" s="7">
        <f t="shared" si="53"/>
        <v>0</v>
      </c>
    </row>
    <row r="241" spans="1:5" x14ac:dyDescent="0.2">
      <c r="A241" s="6" t="s">
        <v>209</v>
      </c>
      <c r="B241" s="7">
        <v>15000</v>
      </c>
      <c r="C241" s="7">
        <v>5861</v>
      </c>
      <c r="D241" s="7">
        <v>15000</v>
      </c>
      <c r="E241" s="7">
        <f t="shared" si="53"/>
        <v>0</v>
      </c>
    </row>
    <row r="242" spans="1:5" x14ac:dyDescent="0.2">
      <c r="A242" s="6" t="s">
        <v>210</v>
      </c>
      <c r="B242" s="7">
        <v>100000</v>
      </c>
      <c r="C242" s="7">
        <v>77113</v>
      </c>
      <c r="D242" s="7">
        <f>60000+40000</f>
        <v>100000</v>
      </c>
      <c r="E242" s="7">
        <f t="shared" si="53"/>
        <v>0</v>
      </c>
    </row>
    <row r="243" spans="1:5" x14ac:dyDescent="0.2">
      <c r="A243" s="6" t="s">
        <v>211</v>
      </c>
      <c r="B243" s="7">
        <v>300000</v>
      </c>
      <c r="C243" s="7">
        <v>182144</v>
      </c>
      <c r="D243" s="7">
        <v>300000</v>
      </c>
      <c r="E243" s="7">
        <f t="shared" si="53"/>
        <v>0</v>
      </c>
    </row>
    <row r="244" spans="1:5" x14ac:dyDescent="0.2">
      <c r="A244" s="6" t="s">
        <v>212</v>
      </c>
      <c r="B244" s="7">
        <v>25000</v>
      </c>
      <c r="C244" s="7">
        <v>9367</v>
      </c>
      <c r="D244" s="7">
        <v>15000</v>
      </c>
      <c r="E244" s="7">
        <f t="shared" si="53"/>
        <v>-10000</v>
      </c>
    </row>
    <row r="245" spans="1:5" x14ac:dyDescent="0.2">
      <c r="A245" s="6" t="s">
        <v>213</v>
      </c>
      <c r="B245" s="7">
        <v>220000</v>
      </c>
      <c r="C245" s="7">
        <v>189878</v>
      </c>
      <c r="D245" s="7">
        <f>141000+109000</f>
        <v>250000</v>
      </c>
      <c r="E245" s="7">
        <f t="shared" si="53"/>
        <v>30000</v>
      </c>
    </row>
    <row r="246" spans="1:5" x14ac:dyDescent="0.2">
      <c r="A246" s="6" t="s">
        <v>214</v>
      </c>
      <c r="B246" s="7">
        <v>150000</v>
      </c>
      <c r="C246" s="7">
        <v>109195</v>
      </c>
      <c r="D246" s="7">
        <v>150000</v>
      </c>
      <c r="E246" s="7">
        <f t="shared" si="53"/>
        <v>0</v>
      </c>
    </row>
    <row r="247" spans="1:5" x14ac:dyDescent="0.2">
      <c r="A247" s="6" t="s">
        <v>215</v>
      </c>
      <c r="B247" s="7">
        <v>2456000</v>
      </c>
      <c r="C247" s="7">
        <v>1549562</v>
      </c>
      <c r="D247" s="7">
        <v>2206000</v>
      </c>
      <c r="E247" s="7">
        <f t="shared" si="53"/>
        <v>-250000</v>
      </c>
    </row>
    <row r="248" spans="1:5" x14ac:dyDescent="0.2">
      <c r="A248" s="6" t="s">
        <v>216</v>
      </c>
      <c r="B248" s="7">
        <v>228000</v>
      </c>
      <c r="C248" s="7">
        <v>183074</v>
      </c>
      <c r="D248" s="7">
        <v>228000</v>
      </c>
      <c r="E248" s="7">
        <f t="shared" si="53"/>
        <v>0</v>
      </c>
    </row>
    <row r="249" spans="1:5" x14ac:dyDescent="0.2">
      <c r="A249" s="6" t="s">
        <v>217</v>
      </c>
      <c r="B249" s="7">
        <v>100000</v>
      </c>
      <c r="C249" s="7">
        <v>63153</v>
      </c>
      <c r="D249" s="7">
        <v>100000</v>
      </c>
      <c r="E249" s="7">
        <f t="shared" si="53"/>
        <v>0</v>
      </c>
    </row>
    <row r="250" spans="1:5" x14ac:dyDescent="0.2">
      <c r="A250" s="6" t="s">
        <v>218</v>
      </c>
      <c r="B250" s="7">
        <v>15000</v>
      </c>
      <c r="C250" s="7">
        <v>3845</v>
      </c>
      <c r="D250" s="7">
        <v>0</v>
      </c>
      <c r="E250" s="7">
        <f t="shared" si="53"/>
        <v>-15000</v>
      </c>
    </row>
    <row r="251" spans="1:5" x14ac:dyDescent="0.2">
      <c r="A251" s="6" t="s">
        <v>219</v>
      </c>
      <c r="B251" s="7">
        <v>80000</v>
      </c>
      <c r="C251" s="7">
        <v>60697</v>
      </c>
      <c r="D251" s="7">
        <v>83000</v>
      </c>
      <c r="E251" s="7">
        <f t="shared" si="53"/>
        <v>3000</v>
      </c>
    </row>
    <row r="252" spans="1:5" x14ac:dyDescent="0.2">
      <c r="A252" s="6" t="s">
        <v>220</v>
      </c>
      <c r="B252" s="7">
        <v>400000</v>
      </c>
      <c r="C252" s="7">
        <v>244034</v>
      </c>
      <c r="D252" s="7">
        <v>400000</v>
      </c>
      <c r="E252" s="7">
        <f t="shared" si="53"/>
        <v>0</v>
      </c>
    </row>
    <row r="253" spans="1:5" x14ac:dyDescent="0.2">
      <c r="A253" s="6" t="s">
        <v>221</v>
      </c>
      <c r="B253" s="7">
        <v>170000</v>
      </c>
      <c r="C253" s="7">
        <v>125504</v>
      </c>
      <c r="D253" s="7">
        <v>170000</v>
      </c>
      <c r="E253" s="7">
        <f t="shared" si="53"/>
        <v>0</v>
      </c>
    </row>
    <row r="254" spans="1:5" x14ac:dyDescent="0.2">
      <c r="A254" s="6" t="s">
        <v>222</v>
      </c>
      <c r="B254" s="7">
        <v>200000</v>
      </c>
      <c r="C254" s="7">
        <v>88542</v>
      </c>
      <c r="D254" s="7">
        <v>200000</v>
      </c>
      <c r="E254" s="7">
        <f t="shared" si="53"/>
        <v>0</v>
      </c>
    </row>
    <row r="255" spans="1:5" x14ac:dyDescent="0.2">
      <c r="A255" s="6" t="s">
        <v>223</v>
      </c>
      <c r="B255" s="7">
        <v>240000</v>
      </c>
      <c r="C255" s="7">
        <v>175687</v>
      </c>
      <c r="D255" s="7">
        <v>232000</v>
      </c>
      <c r="E255" s="7">
        <f t="shared" si="53"/>
        <v>-8000</v>
      </c>
    </row>
    <row r="256" spans="1:5" x14ac:dyDescent="0.2">
      <c r="A256" s="6" t="s">
        <v>224</v>
      </c>
      <c r="B256" s="7">
        <v>65000</v>
      </c>
      <c r="C256" s="7">
        <v>43542</v>
      </c>
      <c r="D256" s="7">
        <v>65000</v>
      </c>
      <c r="E256" s="7">
        <f t="shared" si="53"/>
        <v>0</v>
      </c>
    </row>
    <row r="257" spans="1:5" x14ac:dyDescent="0.2">
      <c r="A257" s="6" t="s">
        <v>225</v>
      </c>
      <c r="B257" s="7">
        <v>295000</v>
      </c>
      <c r="C257" s="7">
        <v>161751</v>
      </c>
      <c r="D257" s="7">
        <f>220000+50000</f>
        <v>270000</v>
      </c>
      <c r="E257" s="7">
        <f t="shared" si="53"/>
        <v>-25000</v>
      </c>
    </row>
    <row r="258" spans="1:5" x14ac:dyDescent="0.2">
      <c r="A258" s="6" t="s">
        <v>226</v>
      </c>
      <c r="B258" s="7">
        <v>225000</v>
      </c>
      <c r="C258" s="7">
        <v>161844</v>
      </c>
      <c r="D258" s="7">
        <v>225000</v>
      </c>
      <c r="E258" s="7">
        <f t="shared" si="53"/>
        <v>0</v>
      </c>
    </row>
    <row r="259" spans="1:5" x14ac:dyDescent="0.2">
      <c r="A259" s="6" t="s">
        <v>227</v>
      </c>
      <c r="B259" s="7">
        <v>60000</v>
      </c>
      <c r="C259" s="7">
        <v>56774</v>
      </c>
      <c r="D259" s="7">
        <v>50000</v>
      </c>
      <c r="E259" s="7">
        <f t="shared" si="53"/>
        <v>-10000</v>
      </c>
    </row>
    <row r="260" spans="1:5" x14ac:dyDescent="0.2">
      <c r="A260" s="6" t="s">
        <v>228</v>
      </c>
      <c r="B260" s="7">
        <v>1100000</v>
      </c>
      <c r="C260" s="7">
        <v>775994</v>
      </c>
      <c r="D260" s="7">
        <f>945000+130000</f>
        <v>1075000</v>
      </c>
      <c r="E260" s="7">
        <f t="shared" si="53"/>
        <v>-25000</v>
      </c>
    </row>
    <row r="261" spans="1:5" ht="15" thickBot="1" x14ac:dyDescent="0.25">
      <c r="A261" s="6" t="s">
        <v>229</v>
      </c>
      <c r="B261" s="7">
        <v>180000</v>
      </c>
      <c r="C261" s="7">
        <v>147798</v>
      </c>
      <c r="D261" s="7">
        <v>195000</v>
      </c>
      <c r="E261" s="7">
        <f t="shared" si="53"/>
        <v>15000</v>
      </c>
    </row>
    <row r="262" spans="1:5" ht="15.75" thickBot="1" x14ac:dyDescent="0.3">
      <c r="A262" s="12" t="s">
        <v>53</v>
      </c>
      <c r="B262" s="13">
        <f t="shared" ref="B262:E262" si="54">SUM(B239:B261)</f>
        <v>7085000</v>
      </c>
      <c r="C262" s="13">
        <f t="shared" si="54"/>
        <v>4858640</v>
      </c>
      <c r="D262" s="13">
        <f t="shared" si="54"/>
        <v>6790000</v>
      </c>
      <c r="E262" s="13">
        <f t="shared" si="54"/>
        <v>-295000</v>
      </c>
    </row>
    <row r="263" spans="1:5" ht="15.75" thickBot="1" x14ac:dyDescent="0.3">
      <c r="A263" s="12" t="s">
        <v>230</v>
      </c>
      <c r="B263" s="13">
        <f t="shared" ref="B263:E263" si="55">+B262</f>
        <v>7085000</v>
      </c>
      <c r="C263" s="13">
        <f t="shared" si="55"/>
        <v>4858640</v>
      </c>
      <c r="D263" s="13">
        <f t="shared" si="55"/>
        <v>6790000</v>
      </c>
      <c r="E263" s="22">
        <f t="shared" si="55"/>
        <v>-295000</v>
      </c>
    </row>
    <row r="264" spans="1:5" x14ac:dyDescent="0.2">
      <c r="A264" s="4"/>
      <c r="B264" s="5"/>
      <c r="C264" s="5"/>
      <c r="D264" s="5"/>
      <c r="E264" s="5"/>
    </row>
    <row r="265" spans="1:5" ht="15" thickBot="1" x14ac:dyDescent="0.25">
      <c r="A265" s="10" t="s">
        <v>231</v>
      </c>
      <c r="B265" s="11">
        <v>4000</v>
      </c>
      <c r="C265" s="11">
        <v>2669</v>
      </c>
      <c r="D265" s="11">
        <v>4000</v>
      </c>
      <c r="E265" s="7">
        <f>+D265-B265</f>
        <v>0</v>
      </c>
    </row>
    <row r="266" spans="1:5" ht="15.75" thickBot="1" x14ac:dyDescent="0.3">
      <c r="A266" s="12" t="s">
        <v>232</v>
      </c>
      <c r="B266" s="13">
        <f t="shared" ref="B266:E266" si="56">SUM(B265)</f>
        <v>4000</v>
      </c>
      <c r="C266" s="13">
        <f t="shared" si="56"/>
        <v>2669</v>
      </c>
      <c r="D266" s="13">
        <f t="shared" si="56"/>
        <v>4000</v>
      </c>
      <c r="E266" s="22">
        <f t="shared" si="56"/>
        <v>0</v>
      </c>
    </row>
    <row r="267" spans="1:5" ht="15.75" thickBot="1" x14ac:dyDescent="0.3">
      <c r="A267" s="12" t="s">
        <v>233</v>
      </c>
      <c r="B267" s="13">
        <f t="shared" ref="B267:E267" si="57">+B266</f>
        <v>4000</v>
      </c>
      <c r="C267" s="13">
        <f t="shared" si="57"/>
        <v>2669</v>
      </c>
      <c r="D267" s="13">
        <f t="shared" si="57"/>
        <v>4000</v>
      </c>
      <c r="E267" s="22">
        <f t="shared" si="57"/>
        <v>0</v>
      </c>
    </row>
    <row r="268" spans="1:5" x14ac:dyDescent="0.2">
      <c r="A268" s="4"/>
      <c r="B268" s="5"/>
      <c r="C268" s="5"/>
      <c r="D268" s="5"/>
      <c r="E268" s="5"/>
    </row>
    <row r="269" spans="1:5" x14ac:dyDescent="0.2">
      <c r="A269" s="6" t="s">
        <v>55</v>
      </c>
      <c r="B269" s="7">
        <v>565000</v>
      </c>
      <c r="C269" s="7">
        <v>215607</v>
      </c>
      <c r="D269" s="7">
        <v>565000</v>
      </c>
      <c r="E269" s="7">
        <f t="shared" ref="E269:E276" si="58">+D269-B269</f>
        <v>0</v>
      </c>
    </row>
    <row r="270" spans="1:5" x14ac:dyDescent="0.2">
      <c r="A270" s="6" t="s">
        <v>234</v>
      </c>
      <c r="B270" s="5">
        <v>165000</v>
      </c>
      <c r="C270" s="5">
        <v>130630</v>
      </c>
      <c r="D270" s="7">
        <v>170000</v>
      </c>
      <c r="E270" s="7">
        <f t="shared" si="58"/>
        <v>5000</v>
      </c>
    </row>
    <row r="271" spans="1:5" x14ac:dyDescent="0.2">
      <c r="A271" s="6" t="s">
        <v>235</v>
      </c>
      <c r="B271" s="5">
        <v>96000</v>
      </c>
      <c r="C271" s="7">
        <v>79815</v>
      </c>
      <c r="D271" s="7">
        <v>110000</v>
      </c>
      <c r="E271" s="7">
        <f t="shared" si="58"/>
        <v>14000</v>
      </c>
    </row>
    <row r="272" spans="1:5" x14ac:dyDescent="0.2">
      <c r="A272" s="6" t="s">
        <v>236</v>
      </c>
      <c r="B272" s="7">
        <v>64000</v>
      </c>
      <c r="C272" s="7">
        <v>24590</v>
      </c>
      <c r="D272" s="7">
        <v>65000</v>
      </c>
      <c r="E272" s="7">
        <f t="shared" si="58"/>
        <v>1000</v>
      </c>
    </row>
    <row r="273" spans="1:5" x14ac:dyDescent="0.2">
      <c r="A273" s="6" t="s">
        <v>237</v>
      </c>
      <c r="B273" s="7">
        <v>20000</v>
      </c>
      <c r="C273" s="7">
        <v>9568</v>
      </c>
      <c r="D273" s="7">
        <v>42000</v>
      </c>
      <c r="E273" s="7">
        <f t="shared" si="58"/>
        <v>22000</v>
      </c>
    </row>
    <row r="274" spans="1:5" x14ac:dyDescent="0.2">
      <c r="A274" s="6" t="s">
        <v>238</v>
      </c>
      <c r="B274" s="7"/>
      <c r="C274" s="7">
        <f>30310+2190</f>
        <v>32500</v>
      </c>
      <c r="D274" s="7">
        <v>30000</v>
      </c>
      <c r="E274" s="7">
        <f t="shared" si="58"/>
        <v>30000</v>
      </c>
    </row>
    <row r="275" spans="1:5" x14ac:dyDescent="0.2">
      <c r="A275" s="6" t="s">
        <v>239</v>
      </c>
      <c r="B275" s="7">
        <v>125000</v>
      </c>
      <c r="C275" s="7">
        <v>112072</v>
      </c>
      <c r="D275" s="7">
        <v>143000</v>
      </c>
      <c r="E275" s="7">
        <f t="shared" si="58"/>
        <v>18000</v>
      </c>
    </row>
    <row r="276" spans="1:5" ht="15" thickBot="1" x14ac:dyDescent="0.25">
      <c r="A276" s="10" t="s">
        <v>240</v>
      </c>
      <c r="B276" s="11">
        <v>380000</v>
      </c>
      <c r="C276" s="11">
        <v>212225</v>
      </c>
      <c r="D276" s="11">
        <v>333000</v>
      </c>
      <c r="E276" s="7">
        <f t="shared" si="58"/>
        <v>-47000</v>
      </c>
    </row>
    <row r="277" spans="1:5" ht="15.75" thickBot="1" x14ac:dyDescent="0.3">
      <c r="A277" s="12" t="s">
        <v>57</v>
      </c>
      <c r="B277" s="13">
        <f t="shared" ref="B277:E277" si="59">SUM(B269:B276)</f>
        <v>1415000</v>
      </c>
      <c r="C277" s="13">
        <f t="shared" si="59"/>
        <v>817007</v>
      </c>
      <c r="D277" s="13">
        <f t="shared" si="59"/>
        <v>1458000</v>
      </c>
      <c r="E277" s="22">
        <f t="shared" si="59"/>
        <v>43000</v>
      </c>
    </row>
    <row r="278" spans="1:5" ht="15.75" thickBot="1" x14ac:dyDescent="0.3">
      <c r="A278" s="12" t="s">
        <v>241</v>
      </c>
      <c r="B278" s="13">
        <f t="shared" ref="B278:E278" si="60">+B277</f>
        <v>1415000</v>
      </c>
      <c r="C278" s="13">
        <f t="shared" si="60"/>
        <v>817007</v>
      </c>
      <c r="D278" s="13">
        <f t="shared" si="60"/>
        <v>1458000</v>
      </c>
      <c r="E278" s="22">
        <f t="shared" si="60"/>
        <v>43000</v>
      </c>
    </row>
    <row r="279" spans="1:5" x14ac:dyDescent="0.2">
      <c r="A279" s="4"/>
      <c r="B279" s="5"/>
      <c r="C279" s="5"/>
      <c r="D279" s="5"/>
      <c r="E279" s="5"/>
    </row>
    <row r="280" spans="1:5" ht="15" thickBot="1" x14ac:dyDescent="0.25">
      <c r="A280" s="10" t="s">
        <v>242</v>
      </c>
      <c r="B280" s="11">
        <v>550000</v>
      </c>
      <c r="C280" s="11">
        <v>406921</v>
      </c>
      <c r="D280" s="11">
        <v>550000</v>
      </c>
      <c r="E280" s="7">
        <f>+D280-B280</f>
        <v>0</v>
      </c>
    </row>
    <row r="281" spans="1:5" ht="15.75" thickBot="1" x14ac:dyDescent="0.3">
      <c r="A281" s="12" t="s">
        <v>243</v>
      </c>
      <c r="B281" s="13">
        <f t="shared" ref="B281:E281" si="61">SUM(B280)</f>
        <v>550000</v>
      </c>
      <c r="C281" s="13">
        <f t="shared" si="61"/>
        <v>406921</v>
      </c>
      <c r="D281" s="13">
        <f t="shared" si="61"/>
        <v>550000</v>
      </c>
      <c r="E281" s="22">
        <f t="shared" si="61"/>
        <v>0</v>
      </c>
    </row>
    <row r="282" spans="1:5" ht="15.75" thickBot="1" x14ac:dyDescent="0.3">
      <c r="A282" s="12" t="s">
        <v>244</v>
      </c>
      <c r="B282" s="13">
        <f t="shared" ref="B282:E282" si="62">+B281</f>
        <v>550000</v>
      </c>
      <c r="C282" s="13">
        <f t="shared" si="62"/>
        <v>406921</v>
      </c>
      <c r="D282" s="13">
        <f t="shared" si="62"/>
        <v>550000</v>
      </c>
      <c r="E282" s="22">
        <f t="shared" si="62"/>
        <v>0</v>
      </c>
    </row>
    <row r="283" spans="1:5" ht="15.75" thickBot="1" x14ac:dyDescent="0.3">
      <c r="A283" s="12" t="s">
        <v>245</v>
      </c>
      <c r="B283" s="13">
        <f t="shared" ref="B283:E283" si="63">+B282+B278+B267+B237+B263</f>
        <v>13677000</v>
      </c>
      <c r="C283" s="13">
        <f t="shared" si="63"/>
        <v>10495834</v>
      </c>
      <c r="D283" s="13">
        <f t="shared" si="63"/>
        <v>13157000</v>
      </c>
      <c r="E283" s="22">
        <f t="shared" si="63"/>
        <v>-520000</v>
      </c>
    </row>
    <row r="284" spans="1:5" x14ac:dyDescent="0.2">
      <c r="A284" s="4"/>
      <c r="B284" s="5"/>
      <c r="C284" s="5"/>
      <c r="D284" s="5"/>
      <c r="E284" s="5"/>
    </row>
    <row r="285" spans="1:5" x14ac:dyDescent="0.2">
      <c r="A285" s="6" t="s">
        <v>246</v>
      </c>
      <c r="B285" s="7">
        <v>1300000</v>
      </c>
      <c r="C285" s="7">
        <v>984776</v>
      </c>
      <c r="D285" s="7">
        <v>1355000</v>
      </c>
      <c r="E285" s="7">
        <f t="shared" ref="E285:E291" si="64">+D285-B285</f>
        <v>55000</v>
      </c>
    </row>
    <row r="286" spans="1:5" x14ac:dyDescent="0.2">
      <c r="A286" s="6" t="s">
        <v>247</v>
      </c>
      <c r="B286" s="7">
        <v>1000</v>
      </c>
      <c r="C286" s="7">
        <v>757</v>
      </c>
      <c r="D286" s="7">
        <v>1000</v>
      </c>
      <c r="E286" s="7">
        <f t="shared" si="64"/>
        <v>0</v>
      </c>
    </row>
    <row r="287" spans="1:5" x14ac:dyDescent="0.2">
      <c r="A287" s="6" t="s">
        <v>248</v>
      </c>
      <c r="B287" s="7"/>
      <c r="C287" s="7">
        <v>667</v>
      </c>
      <c r="D287" s="7"/>
      <c r="E287" s="7">
        <f t="shared" si="64"/>
        <v>0</v>
      </c>
    </row>
    <row r="288" spans="1:5" x14ac:dyDescent="0.2">
      <c r="A288" s="6" t="s">
        <v>249</v>
      </c>
      <c r="B288" s="7">
        <v>414000</v>
      </c>
      <c r="C288" s="7"/>
      <c r="D288" s="7">
        <f>-D84</f>
        <v>0</v>
      </c>
      <c r="E288" s="7">
        <f t="shared" si="64"/>
        <v>-414000</v>
      </c>
    </row>
    <row r="289" spans="1:5" x14ac:dyDescent="0.2">
      <c r="A289" s="6" t="s">
        <v>250</v>
      </c>
      <c r="B289" s="7">
        <v>476000</v>
      </c>
      <c r="C289" s="7">
        <v>484541</v>
      </c>
      <c r="D289" s="7">
        <f>-D10-D290</f>
        <v>420000</v>
      </c>
      <c r="E289" s="7">
        <f t="shared" si="64"/>
        <v>-56000</v>
      </c>
    </row>
    <row r="290" spans="1:5" x14ac:dyDescent="0.2">
      <c r="A290" s="6" t="s">
        <v>251</v>
      </c>
      <c r="B290" s="7">
        <v>104000</v>
      </c>
      <c r="C290" s="7">
        <v>120119</v>
      </c>
      <c r="D290" s="7">
        <v>120000</v>
      </c>
      <c r="E290" s="7">
        <f t="shared" si="64"/>
        <v>16000</v>
      </c>
    </row>
    <row r="291" spans="1:5" x14ac:dyDescent="0.2">
      <c r="A291" s="10" t="s">
        <v>252</v>
      </c>
      <c r="B291" s="7">
        <v>30000</v>
      </c>
      <c r="C291" s="7"/>
      <c r="D291" s="7">
        <v>30000</v>
      </c>
      <c r="E291" s="7">
        <f t="shared" si="64"/>
        <v>0</v>
      </c>
    </row>
    <row r="292" spans="1:5" ht="15" thickBot="1" x14ac:dyDescent="0.25">
      <c r="A292" s="10" t="s">
        <v>253</v>
      </c>
      <c r="B292" s="11">
        <v>479000</v>
      </c>
      <c r="C292" s="11"/>
      <c r="D292" s="11">
        <f>370000</f>
        <v>370000</v>
      </c>
      <c r="E292" s="7">
        <f>+D292-B292+0.4</f>
        <v>-108999.6</v>
      </c>
    </row>
    <row r="293" spans="1:5" ht="15.75" thickBot="1" x14ac:dyDescent="0.3">
      <c r="A293" s="12" t="s">
        <v>254</v>
      </c>
      <c r="B293" s="13">
        <f t="shared" ref="B293:E293" si="65">SUM(B285:B292)</f>
        <v>2804000</v>
      </c>
      <c r="C293" s="13">
        <f t="shared" si="65"/>
        <v>1590860</v>
      </c>
      <c r="D293" s="13">
        <f t="shared" si="65"/>
        <v>2296000</v>
      </c>
      <c r="E293" s="22">
        <f t="shared" si="65"/>
        <v>-507999.6</v>
      </c>
    </row>
    <row r="294" spans="1:5" ht="15.75" thickBot="1" x14ac:dyDescent="0.3">
      <c r="A294" s="12" t="s">
        <v>255</v>
      </c>
      <c r="B294" s="13"/>
      <c r="C294" s="13"/>
      <c r="D294" s="13"/>
      <c r="E294" s="22"/>
    </row>
    <row r="295" spans="1:5" ht="15.75" thickBot="1" x14ac:dyDescent="0.3">
      <c r="A295" s="12" t="s">
        <v>256</v>
      </c>
      <c r="B295" s="13">
        <f t="shared" ref="B295:E295" si="66">+B293</f>
        <v>2804000</v>
      </c>
      <c r="C295" s="13">
        <f t="shared" si="66"/>
        <v>1590860</v>
      </c>
      <c r="D295" s="13">
        <f t="shared" si="66"/>
        <v>2296000</v>
      </c>
      <c r="E295" s="22">
        <f t="shared" si="66"/>
        <v>-507999.6</v>
      </c>
    </row>
    <row r="296" spans="1:5" ht="15.75" thickBot="1" x14ac:dyDescent="0.3">
      <c r="A296" s="12" t="s">
        <v>257</v>
      </c>
      <c r="B296" s="13">
        <f t="shared" ref="B296:E296" si="67">+B295+B283+B216+B133</f>
        <v>39584000</v>
      </c>
      <c r="C296" s="13">
        <f t="shared" si="67"/>
        <v>26721105</v>
      </c>
      <c r="D296" s="13">
        <f t="shared" si="67"/>
        <v>36813000</v>
      </c>
      <c r="E296" s="22">
        <f t="shared" si="67"/>
        <v>-2770999.6</v>
      </c>
    </row>
    <row r="297" spans="1:5" ht="15.75" thickBot="1" x14ac:dyDescent="0.3">
      <c r="A297" s="12" t="s">
        <v>258</v>
      </c>
      <c r="B297" s="40"/>
      <c r="C297" s="40"/>
      <c r="D297" s="40"/>
      <c r="E297" s="35"/>
    </row>
    <row r="298" spans="1:5" ht="15.75" thickBot="1" x14ac:dyDescent="0.3">
      <c r="A298" s="12" t="s">
        <v>258</v>
      </c>
      <c r="B298" s="13">
        <f t="shared" ref="B298:E298" si="68">+B296+B90</f>
        <v>-4.3999999761581421E-2</v>
      </c>
      <c r="C298" s="13">
        <f t="shared" si="68"/>
        <v>442447.56000000238</v>
      </c>
      <c r="D298" s="13">
        <f t="shared" si="68"/>
        <v>0</v>
      </c>
      <c r="E298" s="22">
        <f t="shared" si="68"/>
        <v>0.44400000013411045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2016-04-19T04:41:01Z</cp:lastPrinted>
  <dcterms:created xsi:type="dcterms:W3CDTF">2016-04-19T04:34:35Z</dcterms:created>
  <dcterms:modified xsi:type="dcterms:W3CDTF">2016-04-19T04:42:18Z</dcterms:modified>
</cp:coreProperties>
</file>