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רם\תקציב\רגיל\2017\"/>
    </mc:Choice>
  </mc:AlternateContent>
  <bookViews>
    <workbookView xWindow="0" yWindow="0" windowWidth="25200" windowHeight="11160" activeTab="1"/>
  </bookViews>
  <sheets>
    <sheet name="תקציב לפי מחלקות (2)" sheetId="7" r:id="rId1"/>
    <sheet name="הצעת תקציב 2017 (3)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'הצעת תקציב 2017 (3)'!$A$4:$K$311</definedName>
    <definedName name="_xlnm.Print_Area" localSheetId="1">'הצעת תקציב 2017 (3)'!$B$4:$F$311</definedName>
    <definedName name="_xlnm.Print_Area" localSheetId="0">'תקציב לפי מחלקות (2)'!$B$5:$K$34</definedName>
    <definedName name="_xlnm.Print_Titles" localSheetId="1">'הצעת תקציב 2017 (3)'!$2:$4</definedName>
  </definedNames>
  <calcPr calcId="162913"/>
</workbook>
</file>

<file path=xl/calcChain.xml><?xml version="1.0" encoding="utf-8"?>
<calcChain xmlns="http://schemas.openxmlformats.org/spreadsheetml/2006/main">
  <c r="F7" i="6" l="1"/>
  <c r="F70" i="6"/>
  <c r="F69" i="6"/>
  <c r="F278" i="6"/>
  <c r="E305" i="6" l="1"/>
  <c r="D305" i="6"/>
  <c r="F304" i="6"/>
  <c r="F303" i="6"/>
  <c r="D302" i="6"/>
  <c r="E301" i="6"/>
  <c r="D301" i="6"/>
  <c r="E300" i="6"/>
  <c r="F300" i="6" s="1"/>
  <c r="F299" i="6"/>
  <c r="F298" i="6"/>
  <c r="E294" i="6"/>
  <c r="E295" i="6" s="1"/>
  <c r="D294" i="6"/>
  <c r="D295" i="6" s="1"/>
  <c r="F293" i="6"/>
  <c r="F294" i="6" s="1"/>
  <c r="F295" i="6" s="1"/>
  <c r="E289" i="6"/>
  <c r="E290" i="6" s="1"/>
  <c r="D289" i="6"/>
  <c r="D290" i="6" s="1"/>
  <c r="D291" i="6" s="1"/>
  <c r="F288" i="6"/>
  <c r="F287" i="6"/>
  <c r="F286" i="6"/>
  <c r="F285" i="6"/>
  <c r="F284" i="6"/>
  <c r="F283" i="6"/>
  <c r="F282" i="6"/>
  <c r="D280" i="6"/>
  <c r="E279" i="6"/>
  <c r="E280" i="6" s="1"/>
  <c r="D279" i="6"/>
  <c r="F279" i="6"/>
  <c r="F280" i="6" s="1"/>
  <c r="F274" i="6"/>
  <c r="E273" i="6"/>
  <c r="D273" i="6"/>
  <c r="D272" i="6"/>
  <c r="F272" i="6" s="1"/>
  <c r="E271" i="6"/>
  <c r="D270" i="6"/>
  <c r="F270" i="6" s="1"/>
  <c r="F269" i="6"/>
  <c r="F268" i="6"/>
  <c r="E267" i="6"/>
  <c r="D267" i="6"/>
  <c r="E266" i="6"/>
  <c r="D265" i="6"/>
  <c r="F265" i="6" s="1"/>
  <c r="E264" i="6"/>
  <c r="F263" i="6"/>
  <c r="D262" i="6"/>
  <c r="F262" i="6" s="1"/>
  <c r="D261" i="6"/>
  <c r="F261" i="6" s="1"/>
  <c r="E260" i="6"/>
  <c r="E259" i="6"/>
  <c r="D259" i="6"/>
  <c r="D258" i="6"/>
  <c r="F258" i="6" s="1"/>
  <c r="F257" i="6"/>
  <c r="D256" i="6"/>
  <c r="F256" i="6" s="1"/>
  <c r="D255" i="6"/>
  <c r="F255" i="6" s="1"/>
  <c r="F254" i="6"/>
  <c r="F253" i="6"/>
  <c r="E252" i="6"/>
  <c r="D252" i="6"/>
  <c r="F248" i="6"/>
  <c r="F247" i="6"/>
  <c r="D246" i="6"/>
  <c r="F246" i="6" s="1"/>
  <c r="F245" i="6"/>
  <c r="D244" i="6"/>
  <c r="F244" i="6" s="1"/>
  <c r="F243" i="6"/>
  <c r="E242" i="6"/>
  <c r="E241" i="6"/>
  <c r="E240" i="6"/>
  <c r="D240" i="6"/>
  <c r="F239" i="6"/>
  <c r="E238" i="6"/>
  <c r="E237" i="6"/>
  <c r="F236" i="6"/>
  <c r="E235" i="6"/>
  <c r="D235" i="6"/>
  <c r="K234" i="6"/>
  <c r="E234" i="6"/>
  <c r="D234" i="6"/>
  <c r="F234" i="6" s="1"/>
  <c r="E232" i="6"/>
  <c r="D231" i="6"/>
  <c r="F231" i="6" s="1"/>
  <c r="F230" i="6"/>
  <c r="F225" i="6"/>
  <c r="E224" i="6"/>
  <c r="D224" i="6"/>
  <c r="D223" i="6"/>
  <c r="F223" i="6" s="1"/>
  <c r="F222" i="6"/>
  <c r="D221" i="6"/>
  <c r="F221" i="6" s="1"/>
  <c r="F220" i="6"/>
  <c r="E219" i="6"/>
  <c r="D219" i="6"/>
  <c r="D218" i="6"/>
  <c r="F218" i="6" s="1"/>
  <c r="E216" i="6"/>
  <c r="D216" i="6"/>
  <c r="F214" i="6"/>
  <c r="F216" i="6" s="1"/>
  <c r="E211" i="6"/>
  <c r="F211" i="6" s="1"/>
  <c r="E210" i="6"/>
  <c r="D210" i="6"/>
  <c r="E209" i="6"/>
  <c r="D209" i="6"/>
  <c r="E208" i="6"/>
  <c r="E206" i="6"/>
  <c r="E205" i="6"/>
  <c r="F204" i="6"/>
  <c r="F203" i="6"/>
  <c r="F202" i="6"/>
  <c r="F198" i="6"/>
  <c r="F196" i="6"/>
  <c r="F195" i="6"/>
  <c r="F193" i="6"/>
  <c r="F192" i="6"/>
  <c r="E191" i="6"/>
  <c r="E190" i="6"/>
  <c r="D190" i="6"/>
  <c r="D189" i="6"/>
  <c r="F189" i="6" s="1"/>
  <c r="F188" i="6"/>
  <c r="E187" i="6"/>
  <c r="F187" i="6" s="1"/>
  <c r="F186" i="6"/>
  <c r="F185" i="6"/>
  <c r="D184" i="6"/>
  <c r="F184" i="6" s="1"/>
  <c r="F183" i="6"/>
  <c r="F182" i="6"/>
  <c r="F181" i="6"/>
  <c r="E180" i="6"/>
  <c r="F180" i="6" s="1"/>
  <c r="E179" i="6"/>
  <c r="E178" i="6"/>
  <c r="D178" i="6"/>
  <c r="E177" i="6"/>
  <c r="D177" i="6"/>
  <c r="E176" i="6"/>
  <c r="E175" i="6"/>
  <c r="F175" i="6" s="1"/>
  <c r="F174" i="6"/>
  <c r="D173" i="6"/>
  <c r="F173" i="6" s="1"/>
  <c r="E172" i="6"/>
  <c r="F172" i="6" s="1"/>
  <c r="E171" i="6"/>
  <c r="F171" i="6" s="1"/>
  <c r="F170" i="6"/>
  <c r="E169" i="6"/>
  <c r="D169" i="6"/>
  <c r="F168" i="6"/>
  <c r="E167" i="6"/>
  <c r="F167" i="6" s="1"/>
  <c r="F166" i="6"/>
  <c r="F165" i="6"/>
  <c r="F164" i="6"/>
  <c r="E163" i="6"/>
  <c r="D163" i="6"/>
  <c r="E162" i="6"/>
  <c r="F162" i="6" s="1"/>
  <c r="E158" i="6"/>
  <c r="E157" i="6"/>
  <c r="D157" i="6"/>
  <c r="F156" i="6"/>
  <c r="E155" i="6"/>
  <c r="E154" i="6"/>
  <c r="F153" i="6"/>
  <c r="D152" i="6"/>
  <c r="F152" i="6" s="1"/>
  <c r="D151" i="6"/>
  <c r="D150" i="6"/>
  <c r="F150" i="6" s="1"/>
  <c r="E149" i="6"/>
  <c r="D149" i="6"/>
  <c r="E145" i="6"/>
  <c r="D145" i="6"/>
  <c r="E144" i="6"/>
  <c r="D144" i="6"/>
  <c r="F143" i="6"/>
  <c r="E142" i="6"/>
  <c r="D142" i="6"/>
  <c r="F141" i="6"/>
  <c r="E134" i="6"/>
  <c r="E135" i="6" s="1"/>
  <c r="G26" i="7"/>
  <c r="D134" i="6"/>
  <c r="D135" i="6" s="1"/>
  <c r="F133" i="6"/>
  <c r="F132" i="6"/>
  <c r="F128" i="6"/>
  <c r="F127" i="6"/>
  <c r="E126" i="6"/>
  <c r="D125" i="6"/>
  <c r="F125" i="6" s="1"/>
  <c r="D124" i="6"/>
  <c r="F123" i="6"/>
  <c r="F122" i="6"/>
  <c r="F118" i="6"/>
  <c r="F117" i="6"/>
  <c r="F116" i="6"/>
  <c r="F115" i="6"/>
  <c r="F114" i="6"/>
  <c r="F113" i="6"/>
  <c r="F112" i="6"/>
  <c r="E111" i="6"/>
  <c r="D110" i="6"/>
  <c r="F110" i="6" s="1"/>
  <c r="F109" i="6"/>
  <c r="F108" i="6"/>
  <c r="F107" i="6"/>
  <c r="E106" i="6"/>
  <c r="F105" i="6"/>
  <c r="F104" i="6"/>
  <c r="F103" i="6"/>
  <c r="F102" i="6"/>
  <c r="E101" i="6"/>
  <c r="D101" i="6"/>
  <c r="F100" i="6"/>
  <c r="F99" i="6"/>
  <c r="F98" i="6"/>
  <c r="F91" i="6"/>
  <c r="F90" i="6"/>
  <c r="F89" i="6"/>
  <c r="E86" i="6"/>
  <c r="E87" i="6" s="1"/>
  <c r="D85" i="6"/>
  <c r="F10" i="7" s="1"/>
  <c r="D81" i="6"/>
  <c r="D83" i="6" s="1"/>
  <c r="E22" i="7"/>
  <c r="E80" i="6"/>
  <c r="F80" i="6" s="1"/>
  <c r="F79" i="6"/>
  <c r="F78" i="6"/>
  <c r="F77" i="6"/>
  <c r="F76" i="6"/>
  <c r="E75" i="6"/>
  <c r="F75" i="6" s="1"/>
  <c r="E71" i="6"/>
  <c r="E72" i="6" s="1"/>
  <c r="D71" i="6"/>
  <c r="D72" i="6" s="1"/>
  <c r="E65" i="6"/>
  <c r="D65" i="6"/>
  <c r="E64" i="6"/>
  <c r="D64" i="6"/>
  <c r="D63" i="6"/>
  <c r="F63" i="6" s="1"/>
  <c r="F62" i="6"/>
  <c r="F58" i="6"/>
  <c r="F57" i="6"/>
  <c r="D56" i="6"/>
  <c r="F56" i="6" s="1"/>
  <c r="F55" i="6"/>
  <c r="F54" i="6"/>
  <c r="F53" i="6"/>
  <c r="D52" i="6"/>
  <c r="F52" i="6" s="1"/>
  <c r="F51" i="6"/>
  <c r="E50" i="6"/>
  <c r="F49" i="6"/>
  <c r="E44" i="6"/>
  <c r="D44" i="6"/>
  <c r="D45" i="6" s="1"/>
  <c r="D46" i="6" s="1"/>
  <c r="E42" i="6"/>
  <c r="D41" i="6"/>
  <c r="D42" i="6" s="1"/>
  <c r="E38" i="6"/>
  <c r="D38" i="6"/>
  <c r="D39" i="6" s="1"/>
  <c r="D36" i="6"/>
  <c r="E34" i="6"/>
  <c r="E33" i="6"/>
  <c r="F32" i="6"/>
  <c r="E29" i="6"/>
  <c r="E30" i="6" s="1"/>
  <c r="D29" i="6"/>
  <c r="D30" i="6" s="1"/>
  <c r="F28" i="6"/>
  <c r="F27" i="6"/>
  <c r="F26" i="6"/>
  <c r="F25" i="6"/>
  <c r="D21" i="6"/>
  <c r="F21" i="6" s="1"/>
  <c r="F20" i="6"/>
  <c r="D19" i="6"/>
  <c r="F19" i="6" s="1"/>
  <c r="F18" i="6"/>
  <c r="E17" i="6"/>
  <c r="E22" i="6" s="1"/>
  <c r="E23" i="6" s="1"/>
  <c r="E14" i="6"/>
  <c r="D14" i="6"/>
  <c r="F13" i="6"/>
  <c r="F14" i="6" s="1"/>
  <c r="D11" i="6"/>
  <c r="F8" i="7" s="1"/>
  <c r="E10" i="6"/>
  <c r="E302" i="6" s="1"/>
  <c r="F9" i="6"/>
  <c r="E8" i="6"/>
  <c r="F8" i="6" s="1"/>
  <c r="K6" i="6"/>
  <c r="E6" i="6"/>
  <c r="G30" i="7"/>
  <c r="E30" i="7"/>
  <c r="G28" i="7"/>
  <c r="F28" i="7"/>
  <c r="E28" i="7"/>
  <c r="I24" i="7"/>
  <c r="G24" i="7"/>
  <c r="F24" i="7"/>
  <c r="E24" i="7"/>
  <c r="G20" i="7"/>
  <c r="G16" i="7"/>
  <c r="G14" i="7"/>
  <c r="I10" i="7"/>
  <c r="G10" i="7"/>
  <c r="E10" i="7"/>
  <c r="D10" i="7"/>
  <c r="I28" i="7" l="1"/>
  <c r="F205" i="6"/>
  <c r="F17" i="6"/>
  <c r="K24" i="7"/>
  <c r="J10" i="7"/>
  <c r="F305" i="6"/>
  <c r="E226" i="6"/>
  <c r="F301" i="6"/>
  <c r="F22" i="6"/>
  <c r="F23" i="6" s="1"/>
  <c r="F134" i="6"/>
  <c r="F135" i="6" s="1"/>
  <c r="F30" i="7"/>
  <c r="E20" i="7"/>
  <c r="D15" i="6"/>
  <c r="F41" i="6"/>
  <c r="F42" i="6" s="1"/>
  <c r="F50" i="6"/>
  <c r="F59" i="6" s="1"/>
  <c r="F64" i="6"/>
  <c r="F163" i="6"/>
  <c r="D212" i="6"/>
  <c r="F237" i="6"/>
  <c r="K28" i="7"/>
  <c r="E11" i="6"/>
  <c r="I8" i="7" s="1"/>
  <c r="F38" i="6"/>
  <c r="F39" i="6" s="1"/>
  <c r="D26" i="7"/>
  <c r="F157" i="6"/>
  <c r="F190" i="6"/>
  <c r="F210" i="6"/>
  <c r="F241" i="6"/>
  <c r="F271" i="6"/>
  <c r="E66" i="6"/>
  <c r="E67" i="6" s="1"/>
  <c r="E81" i="6"/>
  <c r="F191" i="6"/>
  <c r="E16" i="7"/>
  <c r="I30" i="7"/>
  <c r="J30" i="7" s="1"/>
  <c r="F176" i="6"/>
  <c r="F179" i="6"/>
  <c r="F209" i="6"/>
  <c r="E8" i="7"/>
  <c r="E26" i="7"/>
  <c r="D233" i="6"/>
  <c r="F233" i="6" s="1"/>
  <c r="K10" i="7"/>
  <c r="F6" i="6"/>
  <c r="E59" i="6"/>
  <c r="E60" i="6" s="1"/>
  <c r="D66" i="6"/>
  <c r="D67" i="6" s="1"/>
  <c r="F71" i="6"/>
  <c r="F72" i="6" s="1"/>
  <c r="F81" i="6"/>
  <c r="F83" i="6" s="1"/>
  <c r="F126" i="6"/>
  <c r="F208" i="6"/>
  <c r="F264" i="6"/>
  <c r="F273" i="6"/>
  <c r="D306" i="6"/>
  <c r="D308" i="6" s="1"/>
  <c r="E14" i="7"/>
  <c r="E18" i="7"/>
  <c r="F10" i="6"/>
  <c r="F144" i="6"/>
  <c r="F149" i="6"/>
  <c r="F154" i="6"/>
  <c r="F158" i="6"/>
  <c r="D199" i="6"/>
  <c r="D92" i="6" s="1"/>
  <c r="F169" i="6"/>
  <c r="F177" i="6"/>
  <c r="F235" i="6"/>
  <c r="F242" i="6"/>
  <c r="F259" i="6"/>
  <c r="F266" i="6"/>
  <c r="E291" i="6"/>
  <c r="D32" i="7"/>
  <c r="G18" i="7"/>
  <c r="G22" i="7"/>
  <c r="J28" i="7"/>
  <c r="D82" i="6"/>
  <c r="E129" i="6"/>
  <c r="E130" i="6" s="1"/>
  <c r="E207" i="6"/>
  <c r="E212" i="6" s="1"/>
  <c r="F267" i="6"/>
  <c r="G8" i="7"/>
  <c r="D22" i="6"/>
  <c r="D119" i="6"/>
  <c r="D120" i="6" s="1"/>
  <c r="F101" i="6"/>
  <c r="J24" i="7"/>
  <c r="F29" i="6"/>
  <c r="F30" i="6" s="1"/>
  <c r="F151" i="6"/>
  <c r="D159" i="6"/>
  <c r="F155" i="6"/>
  <c r="F260" i="6"/>
  <c r="E45" i="6"/>
  <c r="F44" i="6"/>
  <c r="F45" i="6" s="1"/>
  <c r="F46" i="6" s="1"/>
  <c r="F65" i="6"/>
  <c r="F106" i="6"/>
  <c r="E146" i="6"/>
  <c r="F142" i="6"/>
  <c r="D200" i="6"/>
  <c r="E197" i="6"/>
  <c r="F197" i="6" s="1"/>
  <c r="F34" i="6"/>
  <c r="F111" i="6"/>
  <c r="E119" i="6"/>
  <c r="D129" i="6"/>
  <c r="D130" i="6" s="1"/>
  <c r="F124" i="6"/>
  <c r="F302" i="6"/>
  <c r="E194" i="6"/>
  <c r="F194" i="6" s="1"/>
  <c r="F33" i="6"/>
  <c r="E36" i="6"/>
  <c r="E39" i="6"/>
  <c r="D59" i="6"/>
  <c r="D86" i="6"/>
  <c r="D87" i="6" s="1"/>
  <c r="F85" i="6"/>
  <c r="F86" i="6" s="1"/>
  <c r="F87" i="6" s="1"/>
  <c r="F224" i="6"/>
  <c r="E249" i="6"/>
  <c r="F232" i="6"/>
  <c r="F145" i="6"/>
  <c r="E306" i="6"/>
  <c r="F238" i="6"/>
  <c r="D275" i="6"/>
  <c r="F252" i="6"/>
  <c r="D146" i="6"/>
  <c r="D147" i="6" s="1"/>
  <c r="E159" i="6"/>
  <c r="F178" i="6"/>
  <c r="F206" i="6"/>
  <c r="F240" i="6"/>
  <c r="D226" i="6"/>
  <c r="F22" i="7" s="1"/>
  <c r="E275" i="6"/>
  <c r="F219" i="6"/>
  <c r="F289" i="6"/>
  <c r="F290" i="6" s="1"/>
  <c r="F66" i="6" l="1"/>
  <c r="F82" i="6"/>
  <c r="F129" i="6"/>
  <c r="K30" i="7"/>
  <c r="E15" i="6"/>
  <c r="E73" i="6"/>
  <c r="D139" i="6"/>
  <c r="F26" i="7" s="1"/>
  <c r="F199" i="6"/>
  <c r="F200" i="6" s="1"/>
  <c r="F207" i="6"/>
  <c r="F212" i="6" s="1"/>
  <c r="D34" i="7"/>
  <c r="E82" i="6"/>
  <c r="I22" i="7"/>
  <c r="K22" i="7" s="1"/>
  <c r="D249" i="6"/>
  <c r="D250" i="6" s="1"/>
  <c r="F226" i="6"/>
  <c r="F275" i="6"/>
  <c r="F276" i="6" s="1"/>
  <c r="E83" i="6"/>
  <c r="E227" i="6"/>
  <c r="F36" i="6"/>
  <c r="F47" i="6" s="1"/>
  <c r="F119" i="6"/>
  <c r="F120" i="6" s="1"/>
  <c r="E34" i="7"/>
  <c r="E12" i="7"/>
  <c r="E32" i="7" s="1"/>
  <c r="E37" i="7" s="1"/>
  <c r="F159" i="6"/>
  <c r="F160" i="6" s="1"/>
  <c r="G34" i="7"/>
  <c r="G12" i="7"/>
  <c r="G32" i="7" s="1"/>
  <c r="F11" i="6"/>
  <c r="F130" i="6"/>
  <c r="F67" i="6"/>
  <c r="E160" i="6"/>
  <c r="I16" i="7"/>
  <c r="E147" i="6"/>
  <c r="F306" i="6"/>
  <c r="F308" i="6" s="1"/>
  <c r="D93" i="6"/>
  <c r="D94" i="6" s="1"/>
  <c r="D95" i="6" s="1"/>
  <c r="F12" i="7"/>
  <c r="F14" i="7"/>
  <c r="D23" i="6"/>
  <c r="D47" i="6" s="1"/>
  <c r="K8" i="7"/>
  <c r="J8" i="7"/>
  <c r="F20" i="7"/>
  <c r="D276" i="6"/>
  <c r="E308" i="6"/>
  <c r="E276" i="6"/>
  <c r="I20" i="7"/>
  <c r="F249" i="6"/>
  <c r="F250" i="6" s="1"/>
  <c r="E199" i="6"/>
  <c r="I14" i="7"/>
  <c r="E120" i="6"/>
  <c r="F146" i="6"/>
  <c r="E46" i="6"/>
  <c r="F291" i="6"/>
  <c r="E250" i="6"/>
  <c r="I18" i="7"/>
  <c r="D227" i="6"/>
  <c r="D60" i="6"/>
  <c r="D73" i="6" s="1"/>
  <c r="F18" i="7"/>
  <c r="D160" i="6"/>
  <c r="F16" i="7"/>
  <c r="F60" i="6"/>
  <c r="J22" i="7" l="1"/>
  <c r="F227" i="6"/>
  <c r="F73" i="6"/>
  <c r="E47" i="6"/>
  <c r="D228" i="6"/>
  <c r="F296" i="6"/>
  <c r="D296" i="6"/>
  <c r="D309" i="6" s="1"/>
  <c r="F32" i="7"/>
  <c r="F15" i="6"/>
  <c r="E200" i="6"/>
  <c r="E92" i="6"/>
  <c r="J18" i="7"/>
  <c r="K18" i="7"/>
  <c r="E139" i="6"/>
  <c r="D96" i="6"/>
  <c r="F34" i="7" s="1"/>
  <c r="F147" i="6"/>
  <c r="F228" i="6" s="1"/>
  <c r="K20" i="7"/>
  <c r="J20" i="7"/>
  <c r="J14" i="7"/>
  <c r="K14" i="7"/>
  <c r="E296" i="6"/>
  <c r="K16" i="7"/>
  <c r="J16" i="7"/>
  <c r="F139" i="6"/>
  <c r="F309" i="6" l="1"/>
  <c r="E228" i="6"/>
  <c r="E93" i="6"/>
  <c r="F92" i="6"/>
  <c r="I12" i="7"/>
  <c r="I26" i="7"/>
  <c r="D311" i="6"/>
  <c r="J26" i="7" l="1"/>
  <c r="K26" i="7"/>
  <c r="F93" i="6"/>
  <c r="F94" i="6" s="1"/>
  <c r="F95" i="6" s="1"/>
  <c r="F96" i="6" s="1"/>
  <c r="E309" i="6"/>
  <c r="E94" i="6"/>
  <c r="K12" i="7"/>
  <c r="J12" i="7"/>
  <c r="J34" i="7" s="1"/>
  <c r="I32" i="7"/>
  <c r="E95" i="6" l="1"/>
  <c r="F311" i="6"/>
  <c r="E96" i="6" l="1"/>
  <c r="I34" i="7" l="1"/>
  <c r="E311" i="6"/>
</calcChain>
</file>

<file path=xl/sharedStrings.xml><?xml version="1.0" encoding="utf-8"?>
<sst xmlns="http://schemas.openxmlformats.org/spreadsheetml/2006/main" count="321" uniqueCount="299">
  <si>
    <t>שורה/מספר</t>
  </si>
  <si>
    <t>תאור/כרטיס</t>
  </si>
  <si>
    <t>ארנונה למגורים</t>
  </si>
  <si>
    <t>עיקולי בנקים</t>
  </si>
  <si>
    <t>ארנונה לעסקים</t>
  </si>
  <si>
    <t>הנחות ארנונה</t>
  </si>
  <si>
    <t>ארנונות</t>
  </si>
  <si>
    <t>אגרות</t>
  </si>
  <si>
    <t>אגרת רישיון כלבים</t>
  </si>
  <si>
    <t>אגרת שיחרור כלבים</t>
  </si>
  <si>
    <t>תברואה</t>
  </si>
  <si>
    <t>21. ס'ה תברואה</t>
  </si>
  <si>
    <t>אגרת שילוט</t>
  </si>
  <si>
    <t>אגרות שונות</t>
  </si>
  <si>
    <t>אגרת שמירה</t>
  </si>
  <si>
    <t>שמירה וביטחון</t>
  </si>
  <si>
    <t>21. ס'ה שמירה וביטחו</t>
  </si>
  <si>
    <t>אגרת רישיון בניה</t>
  </si>
  <si>
    <t>23. ס'ה תכנון ובנין</t>
  </si>
  <si>
    <t>נכסים ציבוריים</t>
  </si>
  <si>
    <t>24. ס'ה נכסים ציבורי</t>
  </si>
  <si>
    <t>הכנסות שונות</t>
  </si>
  <si>
    <t>26. ס'ה שרותים עירונ</t>
  </si>
  <si>
    <t>פיקוח עירוני</t>
  </si>
  <si>
    <t>28. ס'ה פיקוח עירוני</t>
  </si>
  <si>
    <t>2. ס'ה שרותים מקומיי</t>
  </si>
  <si>
    <t>אג"ח גן חובה</t>
  </si>
  <si>
    <t>השתת.מ.החינוך גנ"י</t>
  </si>
  <si>
    <t>השתת. מ.החינוך בי'ס</t>
  </si>
  <si>
    <t>קבטי"ם מ.החינוך</t>
  </si>
  <si>
    <t>הסעות תלמידים</t>
  </si>
  <si>
    <t>השתת' מש.חינוך-הסעות</t>
  </si>
  <si>
    <t>חינוך</t>
  </si>
  <si>
    <t>31. ס''ה חינוך</t>
  </si>
  <si>
    <t>ספריה</t>
  </si>
  <si>
    <t>צהרון וייל</t>
  </si>
  <si>
    <t>חוגים מרכז וייל</t>
  </si>
  <si>
    <t>הופעות באודיטוריום</t>
  </si>
  <si>
    <t>פעולות ספורט</t>
  </si>
  <si>
    <t>תרבות</t>
  </si>
  <si>
    <t>32. ס'ה תרבות</t>
  </si>
  <si>
    <t>השתת' תושבים מועדון+</t>
  </si>
  <si>
    <t>רווחה</t>
  </si>
  <si>
    <t>34. ס'ה רווחה</t>
  </si>
  <si>
    <t>3. ס'ה מפעלים ממלכתי</t>
  </si>
  <si>
    <t>קנסות חניה</t>
  </si>
  <si>
    <t>תחבורה</t>
  </si>
  <si>
    <t>44. ס'ה תחבורה</t>
  </si>
  <si>
    <t>4. ס'ה מפעלים</t>
  </si>
  <si>
    <t>ריבית</t>
  </si>
  <si>
    <t>51. ס'ה ריבית החזר</t>
  </si>
  <si>
    <t>הכנסות מיוחדות</t>
  </si>
  <si>
    <t>59. ס'ה החזר מקרנות</t>
  </si>
  <si>
    <t>5. ס'ה תק. בל.רגילים</t>
  </si>
  <si>
    <t>סה"כ הכנסות</t>
  </si>
  <si>
    <t>ראש הרשות</t>
  </si>
  <si>
    <t>מבקר פנים</t>
  </si>
  <si>
    <t>יעוץ מערכות מידע</t>
  </si>
  <si>
    <t>מזכירה ראשית</t>
  </si>
  <si>
    <t>מים-כח-חומרי ניקוי</t>
  </si>
  <si>
    <t>אחזקת מכונות משרד</t>
  </si>
  <si>
    <t>רשומות ועתונות</t>
  </si>
  <si>
    <t>משלוחים ונסיעות</t>
  </si>
  <si>
    <t>טלפון דואר</t>
  </si>
  <si>
    <t>שירותי מיחשוב</t>
  </si>
  <si>
    <t>משרדיות והדפסות</t>
  </si>
  <si>
    <t>מנגנון הוצאות שונות</t>
  </si>
  <si>
    <t>עלונים והסברה</t>
  </si>
  <si>
    <t>יעוץ משרדים חיצוניים</t>
  </si>
  <si>
    <t>יעוץ משפטי שוטף</t>
  </si>
  <si>
    <t>מנהל כללי</t>
  </si>
  <si>
    <t>61. ס'ה מנהל כללי</t>
  </si>
  <si>
    <t>62. ס'ה מנהל כספי</t>
  </si>
  <si>
    <t>גזבר ומזכיר המועצה</t>
  </si>
  <si>
    <t>ליסינג גזבר מזכיר</t>
  </si>
  <si>
    <t>רכש</t>
  </si>
  <si>
    <t>יועץ השקעות</t>
  </si>
  <si>
    <t>שרותים-הנה'ח</t>
  </si>
  <si>
    <t>מערכת גביה</t>
  </si>
  <si>
    <t>מנהל כספי</t>
  </si>
  <si>
    <t>עמלות והוצאות בנק</t>
  </si>
  <si>
    <t>עמלת כרטיסי אשראי</t>
  </si>
  <si>
    <t>הוצאות מימון</t>
  </si>
  <si>
    <t>63. ס'ה הוצאות מימון</t>
  </si>
  <si>
    <t>פרעון מלוות</t>
  </si>
  <si>
    <t>64. ס'ה פרעון מלוות</t>
  </si>
  <si>
    <t>6. ס'ה הנהלה כללית</t>
  </si>
  <si>
    <t>עובדת ניקיון</t>
  </si>
  <si>
    <t>קבלן אשפה וגזם</t>
  </si>
  <si>
    <t>הדברת מזיקים-ע'קבלני</t>
  </si>
  <si>
    <t>27. ס'ה תברואה</t>
  </si>
  <si>
    <t>קבלן שמירה</t>
  </si>
  <si>
    <t>פיקוד העורף</t>
  </si>
  <si>
    <t>איגוד ערים לכבאות</t>
  </si>
  <si>
    <t>משמר הכפר</t>
  </si>
  <si>
    <t>קב'ט</t>
  </si>
  <si>
    <t>מל'ח / פס'ח</t>
  </si>
  <si>
    <t>72. ס'ה שמירה וביטחו</t>
  </si>
  <si>
    <t>תקשורת-הנדסה</t>
  </si>
  <si>
    <t>מהנדס הרשות</t>
  </si>
  <si>
    <t>מזכירה-כללית</t>
  </si>
  <si>
    <t>שמאות מקרקעין</t>
  </si>
  <si>
    <t>יעוץ מחשוב ותקשורת</t>
  </si>
  <si>
    <t>אחזקת ביוב</t>
  </si>
  <si>
    <t>עבודות עפר</t>
  </si>
  <si>
    <t>תשתיות לאומיות</t>
  </si>
  <si>
    <t>תשלום לוועדה מרחבית</t>
  </si>
  <si>
    <t>משפטיות הנדסה</t>
  </si>
  <si>
    <t>עב' קבלנית</t>
  </si>
  <si>
    <t>תכנון ובנין ערים</t>
  </si>
  <si>
    <t>ס'ה תכנון בנין ערים</t>
  </si>
  <si>
    <t>צריכת מים</t>
  </si>
  <si>
    <t>מיזוג,מעליות,מערכות</t>
  </si>
  <si>
    <t>מיחזור נייר ובקבוקים</t>
  </si>
  <si>
    <t>איגוד ערים לניקוז</t>
  </si>
  <si>
    <t>קבלן גינון</t>
  </si>
  <si>
    <t>משתלה</t>
  </si>
  <si>
    <t>עובדי משק-קבלן</t>
  </si>
  <si>
    <t>ביטוחים</t>
  </si>
  <si>
    <t>מנהל רישוי עסקים</t>
  </si>
  <si>
    <t>פקחים שכר</t>
  </si>
  <si>
    <t>אכיפת חוקי עזר</t>
  </si>
  <si>
    <t>78. ס'ה נכסים ציבורי</t>
  </si>
  <si>
    <t>7. ס'ה שרותים מקומיי</t>
  </si>
  <si>
    <t>גננות עובדות מדינה</t>
  </si>
  <si>
    <t>בי'ס יסודי משותף</t>
  </si>
  <si>
    <t>השתת. מ.החינוך יסודי</t>
  </si>
  <si>
    <t>שמירה השתת.משטרה</t>
  </si>
  <si>
    <t>שכ'למ תלמידי חוץ</t>
  </si>
  <si>
    <t>קב'ט בית ספר</t>
  </si>
  <si>
    <t>שפ"י</t>
  </si>
  <si>
    <t>שפ'ח-הוצאות שונות</t>
  </si>
  <si>
    <t>81. ס'ה חינוך</t>
  </si>
  <si>
    <t>חגיגות וטכסים</t>
  </si>
  <si>
    <t>ספרים לספריה</t>
  </si>
  <si>
    <t>ספריה - שונות</t>
  </si>
  <si>
    <t>עוזרים בספריה</t>
  </si>
  <si>
    <t>חשמל ותאורה מת.וייל</t>
  </si>
  <si>
    <t>ציוד לחוגים</t>
  </si>
  <si>
    <t>שכר חוגים ומדריכים</t>
  </si>
  <si>
    <t>מדריכי חוגים</t>
  </si>
  <si>
    <t>צהרון וייל-הפעלה</t>
  </si>
  <si>
    <t>צהרון וייל-עב'קבלנית</t>
  </si>
  <si>
    <t>בית ראשונים-הפעלה</t>
  </si>
  <si>
    <t>מנצח המקהלה</t>
  </si>
  <si>
    <t>נקיון מתחם וייל</t>
  </si>
  <si>
    <t>אחזקה - מתחם וייל</t>
  </si>
  <si>
    <t>מנהלת בית וייל</t>
  </si>
  <si>
    <t>מנהל אחזקה-וייל</t>
  </si>
  <si>
    <t>הוצאות הפעלה</t>
  </si>
  <si>
    <t>אודיטוריום-הוצ.שיווק</t>
  </si>
  <si>
    <t>רכישת מופעים</t>
  </si>
  <si>
    <t>רכזת חוגים</t>
  </si>
  <si>
    <t>82. ס'ה תרבות</t>
  </si>
  <si>
    <t>השתת' למד'א-נט'ן</t>
  </si>
  <si>
    <t>בריאות</t>
  </si>
  <si>
    <t>83. ס'ה בריאות</t>
  </si>
  <si>
    <t>משרד הרווחה</t>
  </si>
  <si>
    <t>הוצאות שונות</t>
  </si>
  <si>
    <t>מלחמה בסמים ואלימות</t>
  </si>
  <si>
    <t>רכזת מועדון</t>
  </si>
  <si>
    <t>מועדון +</t>
  </si>
  <si>
    <t>84. ס'ה רווח</t>
  </si>
  <si>
    <t>השתת' במועצה דתית</t>
  </si>
  <si>
    <t>דת</t>
  </si>
  <si>
    <t>85. ס'ה דת</t>
  </si>
  <si>
    <t>8. ס'ה שרו. ממלכתיים</t>
  </si>
  <si>
    <t>פנסיונרים</t>
  </si>
  <si>
    <t>השתת'גמלאים-אוצר</t>
  </si>
  <si>
    <t>הנחות בארנונה</t>
  </si>
  <si>
    <t>הנחות בתשלום מראש</t>
  </si>
  <si>
    <t>רזרבה</t>
  </si>
  <si>
    <t>תשלומים בלתי רגילים</t>
  </si>
  <si>
    <t>99. ס'ה תש' בל.רגילי</t>
  </si>
  <si>
    <t>9. ס'ה מפעלים</t>
  </si>
  <si>
    <t>סה"כ הוצאות</t>
  </si>
  <si>
    <t>עודף / גירעון</t>
  </si>
  <si>
    <t>רמת
סיכום</t>
  </si>
  <si>
    <t>רכזות תרבות</t>
  </si>
  <si>
    <t>הוצאות עודפות</t>
  </si>
  <si>
    <t>מאור רחובות, רמזורים</t>
  </si>
  <si>
    <t>חברת חשמל</t>
  </si>
  <si>
    <t>הכנסה מותנה ארנונה</t>
  </si>
  <si>
    <t>ריבית מהלוואות עובדים</t>
  </si>
  <si>
    <t>השתלמויות עובדים</t>
  </si>
  <si>
    <t>שכר הנדסאית</t>
  </si>
  <si>
    <t>שרותים עירוניים שונים</t>
  </si>
  <si>
    <t>השתת' מ.החינוך פסיכולוג</t>
  </si>
  <si>
    <t>הע' מקרן פיתוח להנדסה</t>
  </si>
  <si>
    <t>שכר סייעות לגננות</t>
  </si>
  <si>
    <t>חלק יחסי משרותי המחשוב שמשויך למחלקת הנדסה</t>
  </si>
  <si>
    <t>חלק יחסי.</t>
  </si>
  <si>
    <t>יחידה סביבתית</t>
  </si>
  <si>
    <t>רכש, מיחשוב ושרותי תוכנה</t>
  </si>
  <si>
    <t>ריבית והחזר</t>
  </si>
  <si>
    <t>אחזקה כללית,מוצרי נייר</t>
  </si>
  <si>
    <t>הפרש</t>
  </si>
  <si>
    <t>הפרש באחוזים</t>
  </si>
  <si>
    <t>1. ס'ה מיסים וארנונה</t>
  </si>
  <si>
    <t>השתתפות בסייעות</t>
  </si>
  <si>
    <t>עובדי אחזקה</t>
  </si>
  <si>
    <t>החזר נסיעות תלמידים</t>
  </si>
  <si>
    <t>ליסינג מנהלת בית וייל</t>
  </si>
  <si>
    <t>מזכירה-מח' הנדסה</t>
  </si>
  <si>
    <t>שרותי מ.גביה, ה.השבחה</t>
  </si>
  <si>
    <t>כרטיסי חניה</t>
  </si>
  <si>
    <t>הוצ' שונות הנדסה</t>
  </si>
  <si>
    <t>העברה מיתרות ש.קודמות</t>
  </si>
  <si>
    <t>מנהל אחזקה ושמירת הסביבה-שכר</t>
  </si>
  <si>
    <t>לכידת בעלי חיים</t>
  </si>
  <si>
    <t>גופים ייצוגיים</t>
  </si>
  <si>
    <t>מנהלת השירות הסוציאלי</t>
  </si>
  <si>
    <t>הכנת תוכנית אב</t>
  </si>
  <si>
    <t>ליסינג קב"ט</t>
  </si>
  <si>
    <t>יחידת חילוץ</t>
  </si>
  <si>
    <t>אחזקת כלי רכב וביטוח</t>
  </si>
  <si>
    <t>דמי השתתפות במכרזים</t>
  </si>
  <si>
    <t>השתתפות בסימון דרכים- השתת. מ .תחבורה</t>
  </si>
  <si>
    <t>שכר עו"ס נוער</t>
  </si>
  <si>
    <t>אחזקת כלים גנרטור</t>
  </si>
  <si>
    <t>קשרי קהילה</t>
  </si>
  <si>
    <t>קנסות בית משפט</t>
  </si>
  <si>
    <t>אגרת טיפול במזיקים</t>
  </si>
  <si>
    <t>אגרת ביוב</t>
  </si>
  <si>
    <t xml:space="preserve">רכישת ציוד </t>
  </si>
  <si>
    <t xml:space="preserve">השתת. מ. התרבות והספורט </t>
  </si>
  <si>
    <t>תנועות נוער אחזקה</t>
  </si>
  <si>
    <t>קב"ט משמר הכפר</t>
  </si>
  <si>
    <t>הוצאה מותנית</t>
  </si>
  <si>
    <t>השתתפות אשכול גנים</t>
  </si>
  <si>
    <t>אגרת פינוי אשפה/מחזור</t>
  </si>
  <si>
    <t>מדד צפוי 1.8%</t>
  </si>
  <si>
    <t>ריבית הלוואת מדינה 0.3%</t>
  </si>
  <si>
    <t>השתתפות משטרה בשמירה</t>
  </si>
  <si>
    <t>השכרת גני ילדים</t>
  </si>
  <si>
    <t>שמירת הסביבה - שכר</t>
  </si>
  <si>
    <t>העברת מש' החינוך בגין גנים</t>
  </si>
  <si>
    <t>נטו הנדסה</t>
  </si>
  <si>
    <t>נטו תרבות</t>
  </si>
  <si>
    <t>נטו חינוך</t>
  </si>
  <si>
    <t>נטו ביטחון</t>
  </si>
  <si>
    <t>נטו דתיים</t>
  </si>
  <si>
    <t>סה"כ הכנסות ארנונה</t>
  </si>
  <si>
    <t>סה"כ הכנסות עצמיות</t>
  </si>
  <si>
    <t>הוצאות מנהלה</t>
  </si>
  <si>
    <t>נטו אחזקה</t>
  </si>
  <si>
    <t>נטו רישוי</t>
  </si>
  <si>
    <t>הצעת תקציב 2015</t>
  </si>
  <si>
    <t>מזכירת גיזבר</t>
  </si>
  <si>
    <t>ניהול אתר אינטרנט</t>
  </si>
  <si>
    <t>סה"כ תקציב</t>
  </si>
  <si>
    <t>הוראות משרד הפנים לרשויות איתנות 1% מהתקציב</t>
  </si>
  <si>
    <t>עבודות קבלנים - תחזוקת כבישים ומדרכות</t>
  </si>
  <si>
    <t>תכנון  עבודה קבלנים</t>
  </si>
  <si>
    <t>+</t>
  </si>
  <si>
    <t>הכנסות שנים קודמות</t>
  </si>
  <si>
    <t>וטרינר שכר</t>
  </si>
  <si>
    <t>פעולות תרבות- תקציב נוסף לבית הספר</t>
  </si>
  <si>
    <t>תמיכה בתנועות נוער ועמותות ספורט</t>
  </si>
  <si>
    <t>הוצאות רווחה שלא דרך משרד הרווחה</t>
  </si>
  <si>
    <t>ליסינג יוספה</t>
  </si>
  <si>
    <t>רכישת רכב</t>
  </si>
  <si>
    <t>טיפול במפגעים סביבתיים</t>
  </si>
  <si>
    <t>בעיקר גני הילדים ופעילות ספורט קהילתית - כולל רווחה ילדים ונוער</t>
  </si>
  <si>
    <t>חדש - מדריך נוער דרך רשפון</t>
  </si>
  <si>
    <t>סגן מהנדס+אדריכל</t>
  </si>
  <si>
    <t>תקשוב מחשוב וטכנולוגיה -  יוספה</t>
  </si>
  <si>
    <t>ביטול העברה משנים קודמות</t>
  </si>
  <si>
    <t>חדש</t>
  </si>
  <si>
    <t>השתת.  משרד הפנים</t>
  </si>
  <si>
    <t xml:space="preserve">הוצאות צוק איתן </t>
  </si>
  <si>
    <t>ליסינג מהנדס המועצה</t>
  </si>
  <si>
    <t>הכנסה מותנית וקיטון בהנחות בפועל</t>
  </si>
  <si>
    <t>הצעת תקציב 2017</t>
  </si>
  <si>
    <t>תקציב 2016 לאחר עדכון</t>
  </si>
  <si>
    <t>מילגם-עבודה קבלנית</t>
  </si>
  <si>
    <t>מחשוב-החברה לאוטומציה</t>
  </si>
  <si>
    <t>כביסה וגיהוץ-קלירנס</t>
  </si>
  <si>
    <t>יונידרס</t>
  </si>
  <si>
    <t>הוצאות שוטפות</t>
  </si>
  <si>
    <t>איזיפארק</t>
  </si>
  <si>
    <t>סלופארק</t>
  </si>
  <si>
    <t>פנגו</t>
  </si>
  <si>
    <t>שכר מפקח על עבודות קבלניות וכבישים</t>
  </si>
  <si>
    <t>שכר עוזר קבט+ מזכירת מוקד</t>
  </si>
  <si>
    <t>פרסום אירועי קהילה</t>
  </si>
  <si>
    <t>מכולת</t>
  </si>
  <si>
    <t xml:space="preserve">השתתפות רמ"י לטובת תכנון אירעי ו למזרח כפר שמריהו </t>
  </si>
  <si>
    <t>השתתפות משרד הפנים עבור תכנית כוללנית</t>
  </si>
  <si>
    <t>סקרי בטיחות איטום</t>
  </si>
  <si>
    <t>תכנון אירעי מזרח הכפר</t>
  </si>
  <si>
    <t>הסדרת נחלות למגרשים</t>
  </si>
  <si>
    <t>הסדרה סטטוטורית נכסי המועצה</t>
  </si>
  <si>
    <t>ביצוע צתכנית כוללנית לכפר</t>
  </si>
  <si>
    <t>ביצוע בפועל 2015</t>
  </si>
  <si>
    <t>ביצוע בפועל 2016</t>
  </si>
  <si>
    <t>הצעת תקציב 2016 לאחר עדכון</t>
  </si>
  <si>
    <t>תשלום סייעים לבית הספר</t>
  </si>
  <si>
    <t>העברה ליתרות ש.קודמות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</si>
</sst>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%"/>
    <numFmt numFmtId="167" formatCode="_ * #,##0.000_ ;_ * \-#,##0.000_ ;_ * &quot;-&quot;??_ ;_ @_ "/>
  </numFmts>
  <fonts count="33" x14ac:knownFonts="1"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1"/>
      <color indexed="8"/>
      <name val="Arial (Hebrew)"/>
      <charset val="177"/>
    </font>
    <font>
      <b/>
      <sz val="11"/>
      <color indexed="8"/>
      <name val="Arial (Hebrew)"/>
      <charset val="177"/>
    </font>
    <font>
      <b/>
      <sz val="16"/>
      <name val="Arial (Hebrew)"/>
      <charset val="177"/>
    </font>
    <font>
      <b/>
      <sz val="10"/>
      <name val="Arial (Hebrew)"/>
      <charset val="177"/>
    </font>
    <font>
      <sz val="11"/>
      <name val="Arial (Hebrew)"/>
      <charset val="177"/>
    </font>
    <font>
      <sz val="11"/>
      <color indexed="10"/>
      <name val="Arial (Hebrew)"/>
      <charset val="177"/>
    </font>
    <font>
      <sz val="8"/>
      <color indexed="8"/>
      <name val="Arial (Hebrew)"/>
      <charset val="177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 (Hebrew)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43" fontId="1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" fillId="26" borderId="31" applyNumberFormat="0" applyFont="0" applyAlignment="0" applyProtection="0"/>
    <xf numFmtId="0" fontId="11" fillId="27" borderId="32" applyNumberFormat="0" applyAlignment="0" applyProtection="0"/>
    <xf numFmtId="0" fontId="12" fillId="28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8" fillId="0" borderId="35" applyNumberFormat="0" applyFill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36" applyNumberFormat="0" applyFill="0" applyAlignment="0" applyProtection="0"/>
    <xf numFmtId="0" fontId="21" fillId="27" borderId="37" applyNumberFormat="0" applyAlignment="0" applyProtection="0"/>
    <xf numFmtId="0" fontId="22" fillId="30" borderId="32" applyNumberFormat="0" applyAlignment="0" applyProtection="0"/>
    <xf numFmtId="0" fontId="23" fillId="31" borderId="0" applyNumberFormat="0" applyBorder="0" applyAlignment="0" applyProtection="0"/>
    <xf numFmtId="0" fontId="24" fillId="32" borderId="38" applyNumberFormat="0" applyAlignment="0" applyProtection="0"/>
    <xf numFmtId="0" fontId="25" fillId="0" borderId="39" applyNumberFormat="0" applyFill="0" applyAlignment="0" applyProtection="0"/>
    <xf numFmtId="0" fontId="26" fillId="0" borderId="0"/>
    <xf numFmtId="0" fontId="27" fillId="0" borderId="0"/>
    <xf numFmtId="0" fontId="28" fillId="0" borderId="0"/>
    <xf numFmtId="0" fontId="31" fillId="0" borderId="0"/>
  </cellStyleXfs>
  <cellXfs count="11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5" fillId="9" borderId="12" xfId="0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165" fontId="2" fillId="0" borderId="0" xfId="0" applyNumberFormat="1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right" vertical="top" wrapText="1"/>
    </xf>
    <xf numFmtId="0" fontId="2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right" wrapText="1"/>
    </xf>
    <xf numFmtId="165" fontId="3" fillId="0" borderId="0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right" wrapText="1"/>
    </xf>
    <xf numFmtId="165" fontId="2" fillId="0" borderId="13" xfId="19" applyNumberFormat="1" applyFont="1" applyFill="1" applyBorder="1" applyAlignment="1">
      <alignment horizontal="right"/>
    </xf>
    <xf numFmtId="165" fontId="2" fillId="0" borderId="23" xfId="19" applyNumberFormat="1" applyFont="1" applyFill="1" applyBorder="1" applyAlignment="1">
      <alignment horizontal="right"/>
    </xf>
    <xf numFmtId="0" fontId="3" fillId="0" borderId="3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 wrapText="1"/>
    </xf>
    <xf numFmtId="165" fontId="2" fillId="0" borderId="0" xfId="19" applyNumberFormat="1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2" fillId="0" borderId="14" xfId="19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0" fontId="4" fillId="0" borderId="2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65" fontId="2" fillId="0" borderId="18" xfId="19" applyNumberFormat="1" applyFont="1" applyFill="1" applyBorder="1" applyAlignment="1">
      <alignment horizontal="right"/>
    </xf>
    <xf numFmtId="0" fontId="2" fillId="0" borderId="0" xfId="0" applyFont="1" applyBorder="1"/>
    <xf numFmtId="165" fontId="2" fillId="0" borderId="0" xfId="19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 wrapText="1"/>
    </xf>
    <xf numFmtId="1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165" fontId="2" fillId="0" borderId="0" xfId="19" applyNumberFormat="1" applyFont="1" applyFill="1" applyAlignment="1">
      <alignment horizontal="left"/>
    </xf>
    <xf numFmtId="0" fontId="0" fillId="0" borderId="29" xfId="0" applyFill="1" applyBorder="1" applyAlignment="1">
      <alignment horizontal="center"/>
    </xf>
    <xf numFmtId="167" fontId="9" fillId="0" borderId="0" xfId="19" applyNumberFormat="1" applyFont="1" applyFill="1" applyBorder="1" applyAlignment="1">
      <alignment horizontal="center"/>
    </xf>
    <xf numFmtId="165" fontId="9" fillId="0" borderId="0" xfId="19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horizontal="right" vertical="top" wrapText="1"/>
    </xf>
    <xf numFmtId="165" fontId="5" fillId="0" borderId="19" xfId="19" applyNumberFormat="1" applyFont="1" applyFill="1" applyBorder="1" applyAlignment="1">
      <alignment horizontal="right" vertical="top" wrapText="1"/>
    </xf>
    <xf numFmtId="165" fontId="5" fillId="0" borderId="12" xfId="19" applyNumberFormat="1" applyFont="1" applyFill="1" applyBorder="1" applyAlignment="1">
      <alignment horizontal="right" vertical="top" wrapText="1"/>
    </xf>
    <xf numFmtId="165" fontId="2" fillId="0" borderId="22" xfId="19" applyNumberFormat="1" applyFont="1" applyFill="1" applyBorder="1" applyAlignment="1">
      <alignment horizontal="right"/>
    </xf>
    <xf numFmtId="165" fontId="3" fillId="0" borderId="12" xfId="0" applyNumberFormat="1" applyFont="1" applyFill="1" applyBorder="1" applyAlignment="1">
      <alignment horizontal="right"/>
    </xf>
    <xf numFmtId="165" fontId="3" fillId="0" borderId="26" xfId="19" applyNumberFormat="1" applyFont="1" applyFill="1" applyBorder="1" applyAlignment="1">
      <alignment horizontal="right"/>
    </xf>
    <xf numFmtId="165" fontId="3" fillId="0" borderId="20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3" fontId="3" fillId="0" borderId="27" xfId="0" applyNumberFormat="1" applyFont="1" applyFill="1" applyBorder="1" applyAlignment="1">
      <alignment horizontal="right"/>
    </xf>
    <xf numFmtId="165" fontId="2" fillId="0" borderId="28" xfId="19" applyNumberFormat="1" applyFont="1" applyFill="1" applyBorder="1" applyAlignment="1">
      <alignment horizontal="right"/>
    </xf>
    <xf numFmtId="165" fontId="2" fillId="0" borderId="16" xfId="19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3" fillId="0" borderId="17" xfId="0" applyNumberFormat="1" applyFont="1" applyFill="1" applyBorder="1" applyAlignment="1">
      <alignment horizontal="right"/>
    </xf>
    <xf numFmtId="0" fontId="0" fillId="0" borderId="0" xfId="0" applyBorder="1"/>
    <xf numFmtId="165" fontId="0" fillId="0" borderId="0" xfId="0" applyNumberFormat="1"/>
    <xf numFmtId="165" fontId="2" fillId="0" borderId="40" xfId="19" applyNumberFormat="1" applyFont="1" applyFill="1" applyBorder="1" applyAlignment="1">
      <alignment horizontal="right"/>
    </xf>
    <xf numFmtId="165" fontId="2" fillId="0" borderId="27" xfId="19" applyNumberFormat="1" applyFont="1" applyFill="1" applyBorder="1" applyAlignment="1">
      <alignment horizontal="right"/>
    </xf>
    <xf numFmtId="165" fontId="0" fillId="0" borderId="0" xfId="19" applyNumberFormat="1" applyFont="1"/>
    <xf numFmtId="165" fontId="29" fillId="33" borderId="0" xfId="19" applyNumberFormat="1" applyFont="1" applyFill="1"/>
    <xf numFmtId="0" fontId="2" fillId="0" borderId="0" xfId="0" applyFont="1" applyFill="1" applyBorder="1" applyAlignment="1">
      <alignment horizontal="right" readingOrder="2"/>
    </xf>
    <xf numFmtId="0" fontId="5" fillId="0" borderId="0" xfId="0" applyFont="1" applyFill="1" applyBorder="1" applyAlignment="1">
      <alignment horizontal="right" vertical="top" wrapText="1" readingOrder="2"/>
    </xf>
    <xf numFmtId="0" fontId="2" fillId="0" borderId="0" xfId="0" applyFont="1" applyAlignment="1">
      <alignment vertical="top" wrapText="1"/>
    </xf>
    <xf numFmtId="165" fontId="5" fillId="0" borderId="19" xfId="19" applyNumberFormat="1" applyFont="1" applyFill="1" applyBorder="1" applyAlignment="1">
      <alignment horizontal="center" vertical="top" wrapText="1"/>
    </xf>
    <xf numFmtId="165" fontId="2" fillId="0" borderId="12" xfId="19" applyNumberFormat="1" applyFont="1" applyFill="1" applyBorder="1" applyAlignment="1">
      <alignment horizontal="right" wrapText="1"/>
    </xf>
    <xf numFmtId="0" fontId="30" fillId="0" borderId="41" xfId="0" applyFont="1" applyFill="1" applyBorder="1" applyAlignment="1">
      <alignment wrapText="1"/>
    </xf>
    <xf numFmtId="165" fontId="2" fillId="0" borderId="42" xfId="19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horizontal="right"/>
    </xf>
    <xf numFmtId="165" fontId="2" fillId="0" borderId="4" xfId="19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 wrapText="1"/>
    </xf>
    <xf numFmtId="0" fontId="3" fillId="0" borderId="43" xfId="0" applyFont="1" applyFill="1" applyBorder="1" applyAlignment="1">
      <alignment horizontal="right"/>
    </xf>
    <xf numFmtId="165" fontId="2" fillId="0" borderId="17" xfId="19" applyNumberFormat="1" applyFont="1" applyFill="1" applyBorder="1" applyAlignment="1">
      <alignment horizontal="right"/>
    </xf>
    <xf numFmtId="165" fontId="2" fillId="0" borderId="44" xfId="19" applyNumberFormat="1" applyFont="1" applyFill="1" applyBorder="1" applyAlignment="1">
      <alignment horizontal="right"/>
    </xf>
    <xf numFmtId="165" fontId="3" fillId="0" borderId="15" xfId="0" applyNumberFormat="1" applyFont="1" applyFill="1" applyBorder="1" applyAlignment="1">
      <alignment horizontal="right"/>
    </xf>
    <xf numFmtId="165" fontId="5" fillId="33" borderId="19" xfId="19" applyNumberFormat="1" applyFont="1" applyFill="1" applyBorder="1" applyAlignment="1">
      <alignment horizontal="center" vertical="top" wrapText="1"/>
    </xf>
    <xf numFmtId="165" fontId="5" fillId="0" borderId="12" xfId="19" applyNumberFormat="1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 wrapText="1"/>
    </xf>
    <xf numFmtId="166" fontId="2" fillId="0" borderId="1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Fill="1" applyBorder="1" applyAlignment="1">
      <alignment horizontal="right" vertical="top" wrapText="1"/>
    </xf>
    <xf numFmtId="165" fontId="3" fillId="0" borderId="16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0" xfId="0" applyFont="1" applyFill="1"/>
    <xf numFmtId="0" fontId="2" fillId="0" borderId="5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165" fontId="7" fillId="0" borderId="11" xfId="0" applyNumberFormat="1" applyFont="1" applyFill="1" applyBorder="1" applyAlignment="1">
      <alignment horizontal="right"/>
    </xf>
    <xf numFmtId="165" fontId="2" fillId="0" borderId="11" xfId="0" applyNumberFormat="1" applyFont="1" applyFill="1" applyBorder="1" applyAlignment="1">
      <alignment horizontal="right"/>
    </xf>
    <xf numFmtId="0" fontId="2" fillId="0" borderId="0" xfId="0" applyFont="1" applyFill="1" applyBorder="1"/>
    <xf numFmtId="165" fontId="2" fillId="0" borderId="13" xfId="0" applyNumberFormat="1" applyFont="1" applyFill="1" applyBorder="1" applyAlignment="1">
      <alignment horizontal="right"/>
    </xf>
    <xf numFmtId="165" fontId="6" fillId="0" borderId="13" xfId="19" applyNumberFormat="1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right"/>
    </xf>
    <xf numFmtId="165" fontId="2" fillId="0" borderId="0" xfId="0" applyNumberFormat="1" applyFont="1" applyFill="1"/>
    <xf numFmtId="0" fontId="3" fillId="34" borderId="10" xfId="0" applyFont="1" applyFill="1" applyBorder="1" applyAlignment="1">
      <alignment horizontal="right"/>
    </xf>
    <xf numFmtId="165" fontId="3" fillId="34" borderId="19" xfId="0" applyNumberFormat="1" applyFont="1" applyFill="1" applyBorder="1" applyAlignment="1">
      <alignment horizontal="right"/>
    </xf>
    <xf numFmtId="165" fontId="3" fillId="34" borderId="12" xfId="0" applyNumberFormat="1" applyFont="1" applyFill="1" applyBorder="1" applyAlignment="1">
      <alignment horizontal="right"/>
    </xf>
    <xf numFmtId="0" fontId="3" fillId="34" borderId="9" xfId="0" applyFont="1" applyFill="1" applyBorder="1" applyAlignment="1">
      <alignment horizontal="right"/>
    </xf>
  </cellXfs>
  <cellStyles count="47">
    <cellStyle name="20% - הדגשה1" xfId="1" builtinId="30" customBuiltin="1"/>
    <cellStyle name="20% - הדגשה2" xfId="2" builtinId="34" customBuiltin="1"/>
    <cellStyle name="20% - הדגשה3" xfId="3" builtinId="38" customBuiltin="1"/>
    <cellStyle name="20% - הדגשה4" xfId="4" builtinId="42" customBuiltin="1"/>
    <cellStyle name="20% - הדגשה5" xfId="5" builtinId="46" customBuiltin="1"/>
    <cellStyle name="20% - הדגשה6" xfId="6" builtinId="50" customBuiltin="1"/>
    <cellStyle name="40% - הדגשה1" xfId="7" builtinId="31" customBuiltin="1"/>
    <cellStyle name="40% - הדגשה2" xfId="8" builtinId="35" customBuiltin="1"/>
    <cellStyle name="40% - הדגשה3" xfId="9" builtinId="39" customBuiltin="1"/>
    <cellStyle name="40% - הדגשה4" xfId="10" builtinId="43" customBuiltin="1"/>
    <cellStyle name="40% - הדגשה5" xfId="11" builtinId="47" customBuiltin="1"/>
    <cellStyle name="40% - הדגשה6" xfId="12" builtinId="51" customBuiltin="1"/>
    <cellStyle name="60% - הדגשה1" xfId="13" builtinId="32" customBuiltin="1"/>
    <cellStyle name="60% - הדגשה2" xfId="14" builtinId="36" customBuiltin="1"/>
    <cellStyle name="60% - הדגשה3" xfId="15" builtinId="40" customBuiltin="1"/>
    <cellStyle name="60% - הדגשה4" xfId="16" builtinId="44" customBuiltin="1"/>
    <cellStyle name="60% - הדגשה5" xfId="17" builtinId="48" customBuiltin="1"/>
    <cellStyle name="60% - הדגשה6" xfId="18" builtinId="52" customBuiltin="1"/>
    <cellStyle name="Comma" xfId="19" builtinId="3"/>
    <cellStyle name="Normal" xfId="0" builtinId="0"/>
    <cellStyle name="Normal 2" xfId="43"/>
    <cellStyle name="Normal 3" xfId="44"/>
    <cellStyle name="Normal 4" xfId="45"/>
    <cellStyle name="Normal 5" xfId="46"/>
    <cellStyle name="הדגשה1" xfId="20" builtinId="29" customBuiltin="1"/>
    <cellStyle name="הדגשה2" xfId="21" builtinId="33" customBuiltin="1"/>
    <cellStyle name="הדגשה3" xfId="22" builtinId="37" customBuiltin="1"/>
    <cellStyle name="הדגשה4" xfId="23" builtinId="41" customBuiltin="1"/>
    <cellStyle name="הדגשה5" xfId="24" builtinId="45" customBuiltin="1"/>
    <cellStyle name="הדגשה6" xfId="25" builtinId="49" customBuiltin="1"/>
    <cellStyle name="הערה" xfId="26" builtinId="10" customBuiltin="1"/>
    <cellStyle name="חישוב" xfId="27" builtinId="22" customBuiltin="1"/>
    <cellStyle name="טוב" xfId="28" builtinId="26" customBuiltin="1"/>
    <cellStyle name="טקסט אזהרה" xfId="29" builtinId="11" customBuiltin="1"/>
    <cellStyle name="טקסט הסברי" xfId="30" builtinId="53" customBuiltin="1"/>
    <cellStyle name="כותרת" xfId="31" builtinId="15" customBuiltin="1"/>
    <cellStyle name="כותרת 1" xfId="32" builtinId="16" customBuiltin="1"/>
    <cellStyle name="כותרת 2" xfId="33" builtinId="17" customBuiltin="1"/>
    <cellStyle name="כותרת 3" xfId="34" builtinId="18" customBuiltin="1"/>
    <cellStyle name="כותרת 4" xfId="35" builtinId="19" customBuiltin="1"/>
    <cellStyle name="ניטראלי" xfId="36" builtinId="28" customBuiltin="1"/>
    <cellStyle name="סה&quot;כ" xfId="37" builtinId="25" customBuiltin="1"/>
    <cellStyle name="פלט" xfId="38" builtinId="21" customBuiltin="1"/>
    <cellStyle name="קלט" xfId="39" builtinId="20" customBuiltin="1"/>
    <cellStyle name="רע" xfId="40" builtinId="27" customBuiltin="1"/>
    <cellStyle name="תא מסומן" xfId="41" builtinId="23" customBuiltin="1"/>
    <cellStyle name="תא מקושר" xfId="42" builtinId="24" customBuiltin="1"/>
  </cellStyles>
  <dxfs count="0"/>
  <tableStyles count="0" defaultTableStyle="TableStyleMedium9" defaultPivotStyle="PivotStyleLight16"/>
  <colors>
    <mruColors>
      <color rgb="FF00FF00"/>
      <color rgb="FF00FFFF"/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06;&#1492;&#1499;&#1504;&#1505;&#1493;&#1514;%20&#1500;&#1488;&#1495;&#1512;%20&#1511;&#1489;&#1500;&#1514;%20&#1488;&#1497;&#1513;&#1493;&#1512;%20&#1495;&#1500;&#1511;&#14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488;&#1495;&#1494;&#1511;&#1492;/&#1506;&#1493;&#1514;&#1511;%20&#1513;&#1500;%20&#1506;&#1493;&#1514;&#1511;%20&#1513;&#1500;%20&#1506;&#1493;&#1514;&#1511;%20&#1513;&#1500;%20&#1514;&#1511;&#1510;&#1497;&#1489;%20&#1488;&#1495;&#1494;&#1511;&#1492;%202017%20&#1505;&#1493;&#1508;&#149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2;&#1501;/&#1514;&#1511;&#1510;&#1497;&#1489;/&#1512;&#1490;&#1497;&#1500;/2016/&#1488;&#1495;&#1494;&#1511;&#1492;/&#1506;&#1493;&#1514;&#1511;%20&#1513;&#1500;%20&#1506;&#1493;&#1514;&#1511;%20&#1513;&#1500;%20&#1506;&#1493;&#1514;&#1511;%20&#1513;&#1500;%20&#1488;&#1495;&#1494;&#1511;&#1492;%2026.10.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488;&#1495;&#1494;&#1511;&#1492;/&#1506;&#1493;&#1514;&#1511;%20&#1513;&#1500;%20&#1514;&#1511;&#1510;&#1497;&#1489;%20&#1488;&#1495;&#1494;&#1511;&#1492;%202017%20&#1513;&#1493;&#1491;&#15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489;&#1497;&#1496;&#1495;&#1493;&#1503;/&#1506;&#1493;&#1514;&#1511;%20&#1513;&#1500;%20&#1514;&#1511;&#1510;&#1497;&#1489;%202017%20&#1502;&#1506;&#1493;&#1491;&#1499;&#15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12;&#1501;/&#1514;&#1511;&#1510;&#1497;&#1489;/&#1512;&#1490;&#1497;&#1500;/2016/&#1502;&#1512;&#1499;&#1494;%20&#1493;&#1497;&#1497;&#1500;/&#1506;&#1493;&#1514;&#1511;%20&#1513;&#1500;%20&#1489;&#1511;&#1513;&#1492;%20&#1500;&#1514;&#1511;&#1510;&#1497;&#1489;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"/>
    </sheetNames>
    <sheetDataSet>
      <sheetData sheetId="0">
        <row r="38">
          <cell r="Q38">
            <v>3883000</v>
          </cell>
        </row>
        <row r="39">
          <cell r="Q39">
            <v>14779000</v>
          </cell>
        </row>
        <row r="41">
          <cell r="Q41">
            <v>525000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ספקת מים"/>
      <sheetName val="מערכ' ביוב"/>
      <sheetName val="ניקוז"/>
      <sheetName val="נראות הכפר"/>
      <sheetName val="בטיחות בדרכים"/>
      <sheetName val="חשמל מבנים תאורת רחובות"/>
      <sheetName val="מחזור"/>
      <sheetName val="תיחזוק מיטבי"/>
      <sheetName val="סיוע למחלקות"/>
      <sheetName val="פרוייקטים"/>
      <sheetName val="צי רכב"/>
      <sheetName val="איכות הסביבה"/>
      <sheetName val="עובדים ושכר"/>
      <sheetName val="אינטרנט"/>
      <sheetName val="סיכומים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J12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D6">
            <v>292500</v>
          </cell>
        </row>
        <row r="7">
          <cell r="D7">
            <v>200000</v>
          </cell>
        </row>
        <row r="8">
          <cell r="D8">
            <v>234800</v>
          </cell>
        </row>
        <row r="9">
          <cell r="D9">
            <v>718500</v>
          </cell>
        </row>
        <row r="10">
          <cell r="D10">
            <v>30000</v>
          </cell>
        </row>
        <row r="11">
          <cell r="D11">
            <v>235000</v>
          </cell>
        </row>
        <row r="12">
          <cell r="D12">
            <v>97000</v>
          </cell>
        </row>
        <row r="15">
          <cell r="D15">
            <v>65000</v>
          </cell>
        </row>
        <row r="16">
          <cell r="D16">
            <v>1790000</v>
          </cell>
        </row>
        <row r="17">
          <cell r="D17">
            <v>323500</v>
          </cell>
        </row>
        <row r="19">
          <cell r="D19">
            <v>143000</v>
          </cell>
        </row>
        <row r="21">
          <cell r="D21">
            <v>4000</v>
          </cell>
        </row>
        <row r="33">
          <cell r="D33">
            <v>168000</v>
          </cell>
        </row>
        <row r="34">
          <cell r="D34">
            <v>75000</v>
          </cell>
        </row>
        <row r="35">
          <cell r="D35">
            <v>415000</v>
          </cell>
        </row>
        <row r="36">
          <cell r="D36">
            <v>320000</v>
          </cell>
        </row>
        <row r="45">
          <cell r="D45">
            <v>1000</v>
          </cell>
        </row>
        <row r="51">
          <cell r="D51">
            <v>68500</v>
          </cell>
        </row>
        <row r="54">
          <cell r="D54">
            <v>74000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ספקת מים"/>
      <sheetName val="מערכ' ביוב"/>
      <sheetName val="ניקוז"/>
      <sheetName val="נראות הכפר"/>
      <sheetName val="בטיחות בדרכים"/>
      <sheetName val="חשמל מבנים תאורת רחובות"/>
      <sheetName val="מחזור"/>
      <sheetName val="תיחזוק מיטבי"/>
      <sheetName val="סיוע למחלקות"/>
      <sheetName val="פרוייקטים"/>
      <sheetName val="צי רכב"/>
      <sheetName val="איכות הסביבה"/>
      <sheetName val="עובדים ושכר"/>
      <sheetName val="אינטרנט"/>
      <sheetName val="סיכומים"/>
    </sheetNames>
    <sheetDataSet>
      <sheetData sheetId="0"/>
      <sheetData sheetId="1">
        <row r="20">
          <cell r="D20">
            <v>46000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ספקת מים"/>
      <sheetName val="מערכ' ביוב"/>
      <sheetName val="ניקוז"/>
      <sheetName val="נראות הכפר"/>
      <sheetName val="בטיחות בדרכים"/>
      <sheetName val="חשמל מבנים תאורת רחובות"/>
      <sheetName val="מחזור"/>
      <sheetName val="תיחזוק מיטבי"/>
      <sheetName val="סיוע למחלקות"/>
      <sheetName val="פרוייקטים"/>
      <sheetName val="צי רכב"/>
      <sheetName val="איכות הסביבה"/>
      <sheetName val="עובדים ושכר"/>
      <sheetName val="אינטרנט"/>
      <sheetName val="סיכומ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D18">
            <v>2372000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מירה -קבלן אבטחה"/>
      <sheetName val="משמר הכפר"/>
      <sheetName val="שעת חרום"/>
      <sheetName val="יחידת חילוץ"/>
      <sheetName val="שכר"/>
      <sheetName val="בטיחות בדרכים"/>
      <sheetName val="סה&quot;כ"/>
    </sheetNames>
    <sheetDataSet>
      <sheetData sheetId="0"/>
      <sheetData sheetId="1"/>
      <sheetData sheetId="2"/>
      <sheetData sheetId="3"/>
      <sheetData sheetId="4"/>
      <sheetData sheetId="5">
        <row r="5">
          <cell r="I5">
            <v>10000</v>
          </cell>
        </row>
      </sheetData>
      <sheetData sheetId="6">
        <row r="3">
          <cell r="B3">
            <v>770000</v>
          </cell>
        </row>
        <row r="4">
          <cell r="B4">
            <v>43000</v>
          </cell>
        </row>
        <row r="5">
          <cell r="B5">
            <v>8500</v>
          </cell>
        </row>
        <row r="6">
          <cell r="B6">
            <v>96500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קציב לתצוגה"/>
      <sheetName val="ראשי"/>
      <sheetName val="מופעים"/>
      <sheetName val="חוגים"/>
      <sheetName val="מועדון +"/>
      <sheetName val="ספריה"/>
      <sheetName val="חגיגות וטקסים"/>
      <sheetName val="גופים ייצוגיים"/>
      <sheetName val="בית ראשונים"/>
      <sheetName val="הוצאות הפעלה"/>
      <sheetName val="פירוט אחזקה"/>
      <sheetName val="גיליון1"/>
    </sheetNames>
    <sheetDataSet>
      <sheetData sheetId="0">
        <row r="16">
          <cell r="H16">
            <v>415000</v>
          </cell>
        </row>
        <row r="17">
          <cell r="H17">
            <v>20000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7"/>
  <sheetViews>
    <sheetView rightToLeft="1" topLeftCell="A5" workbookViewId="0">
      <selection activeCell="B5" sqref="B5:K34"/>
    </sheetView>
  </sheetViews>
  <sheetFormatPr defaultRowHeight="14.25" x14ac:dyDescent="0.2"/>
  <cols>
    <col min="2" max="2" width="15.625" customWidth="1"/>
    <col min="3" max="3" width="1.25" customWidth="1"/>
    <col min="4" max="5" width="11" customWidth="1"/>
    <col min="6" max="6" width="13.5" bestFit="1" customWidth="1"/>
    <col min="7" max="7" width="11.125" customWidth="1"/>
    <col min="8" max="8" width="2.125" customWidth="1"/>
    <col min="9" max="9" width="11.25" customWidth="1"/>
    <col min="10" max="10" width="12.125" customWidth="1"/>
    <col min="12" max="12" width="3.5" customWidth="1"/>
    <col min="13" max="13" width="39.75" customWidth="1"/>
  </cols>
  <sheetData>
    <row r="4" spans="1:13" ht="15" thickBot="1" x14ac:dyDescent="0.25"/>
    <row r="5" spans="1:13" s="6" customFormat="1" ht="33" customHeight="1" thickBot="1" x14ac:dyDescent="0.25">
      <c r="A5"/>
      <c r="B5" s="50" t="s">
        <v>0</v>
      </c>
      <c r="C5" s="51"/>
      <c r="D5" s="86" t="s">
        <v>247</v>
      </c>
      <c r="E5" s="86" t="s">
        <v>294</v>
      </c>
      <c r="F5" s="86" t="s">
        <v>296</v>
      </c>
      <c r="G5" s="86" t="s">
        <v>295</v>
      </c>
      <c r="H5"/>
      <c r="I5" s="85" t="s">
        <v>273</v>
      </c>
      <c r="J5" s="53" t="s">
        <v>196</v>
      </c>
      <c r="K5" s="87" t="s">
        <v>197</v>
      </c>
      <c r="L5" s="13"/>
      <c r="M5" s="13"/>
    </row>
    <row r="6" spans="1:13" x14ac:dyDescent="0.2">
      <c r="B6" s="65"/>
      <c r="C6" s="65"/>
    </row>
    <row r="7" spans="1:13" ht="15" thickBot="1" x14ac:dyDescent="0.25">
      <c r="B7" s="65"/>
      <c r="C7" s="65"/>
    </row>
    <row r="8" spans="1:13" s="6" customFormat="1" ht="15.75" customHeight="1" thickBot="1" x14ac:dyDescent="0.25">
      <c r="A8"/>
      <c r="B8" s="51" t="s">
        <v>242</v>
      </c>
      <c r="C8" s="51"/>
      <c r="D8" s="53">
        <v>-17301000.274</v>
      </c>
      <c r="E8" s="53" t="e">
        <f>'הצעת תקציב 2017 (3)'!#REF!+'הצעת תקציב 2017 (3)'!#REF!</f>
        <v>#REF!</v>
      </c>
      <c r="F8" s="53">
        <f>'הצעת תקציב 2017 (3)'!D11+'הצעת תקציב 2017 (3)'!D90</f>
        <v>-17550000</v>
      </c>
      <c r="G8" s="53" t="e">
        <f>'הצעת תקציב 2017 (3)'!#REF!+'הצעת תקציב 2017 (3)'!#REF!</f>
        <v>#REF!</v>
      </c>
      <c r="H8"/>
      <c r="I8" s="53">
        <f>'הצעת תקציב 2017 (3)'!E11+'הצעת תקציב 2017 (3)'!E90</f>
        <v>-19187000</v>
      </c>
      <c r="J8" s="53">
        <f>I8-F8</f>
        <v>-1637000</v>
      </c>
      <c r="K8" s="88">
        <f>+I8/F8-1</f>
        <v>9.3276353276353197E-2</v>
      </c>
      <c r="L8" s="13"/>
      <c r="M8" s="72"/>
    </row>
    <row r="9" spans="1:13" ht="15" thickBot="1" x14ac:dyDescent="0.25">
      <c r="B9" s="65"/>
      <c r="C9" s="65"/>
      <c r="K9" s="89"/>
    </row>
    <row r="10" spans="1:13" s="6" customFormat="1" ht="18" customHeight="1" thickBot="1" x14ac:dyDescent="0.25">
      <c r="A10"/>
      <c r="B10" s="51" t="s">
        <v>243</v>
      </c>
      <c r="C10" s="51"/>
      <c r="D10" s="53" t="e">
        <f>'הצעת תקציב 2017 (3)'!#REF!+'הצעת תקציב 2017 (3)'!#REF!+'הצעת תקציב 2017 (3)'!#REF!+'הצעת תקציב 2017 (3)'!#REF!+'הצעת תקציב 2017 (3)'!#REF!+'הצעת תקציב 2017 (3)'!#REF!</f>
        <v>#REF!</v>
      </c>
      <c r="E10" s="53" t="e">
        <f>'הצעת תקציב 2017 (3)'!#REF!+'הצעת תקציב 2017 (3)'!#REF!+'הצעת תקציב 2017 (3)'!#REF!+'הצעת תקציב 2017 (3)'!#REF!+'הצעת תקציב 2017 (3)'!#REF!+'הצעת תקציב 2017 (3)'!#REF!</f>
        <v>#REF!</v>
      </c>
      <c r="F10" s="53">
        <f>'הצעת תקציב 2017 (3)'!D13+'הצעת תקציב 2017 (3)'!D85+'הצעת תקציב 2017 (3)'!D89+'הצעת תקציב 2017 (3)'!D91+'הצעת תקציב 2017 (3)'!D84+'הצעת תקציב 2017 (3)'!D26</f>
        <v>-203000</v>
      </c>
      <c r="G10" s="53" t="e">
        <f>'הצעת תקציב 2017 (3)'!#REF!+'הצעת תקציב 2017 (3)'!#REF!+'הצעת תקציב 2017 (3)'!#REF!+'הצעת תקציב 2017 (3)'!#REF!+'הצעת תקציב 2017 (3)'!#REF!+'הצעת תקציב 2017 (3)'!#REF!</f>
        <v>#REF!</v>
      </c>
      <c r="H10"/>
      <c r="I10" s="53">
        <f>'הצעת תקציב 2017 (3)'!E13+'הצעת תקציב 2017 (3)'!E85+'הצעת תקציב 2017 (3)'!E89+'הצעת תקציב 2017 (3)'!E91+'הצעת תקציב 2017 (3)'!E84</f>
        <v>-203000</v>
      </c>
      <c r="J10" s="53">
        <f>I10-F10</f>
        <v>0</v>
      </c>
      <c r="K10" s="88">
        <f>+I10/F10-1</f>
        <v>0</v>
      </c>
      <c r="L10" s="13"/>
      <c r="M10" s="90" t="s">
        <v>267</v>
      </c>
    </row>
    <row r="11" spans="1:13" ht="15" thickBot="1" x14ac:dyDescent="0.25">
      <c r="B11" s="65"/>
      <c r="C11" s="65"/>
      <c r="K11" s="89"/>
    </row>
    <row r="12" spans="1:13" s="2" customFormat="1" ht="15" thickBot="1" x14ac:dyDescent="0.25">
      <c r="A12"/>
      <c r="B12" s="51" t="s">
        <v>237</v>
      </c>
      <c r="C12" s="51"/>
      <c r="D12" s="53">
        <v>-1701000</v>
      </c>
      <c r="E12" s="53" t="e">
        <f>'הצעת תקציב 2017 (3)'!#REF!+'הצעת תקציב 2017 (3)'!#REF!+'הצעת תקציב 2017 (3)'!#REF!+'הצעת תקציב 2017 (3)'!#REF!</f>
        <v>#REF!</v>
      </c>
      <c r="F12" s="53">
        <f>'הצעת תקציב 2017 (3)'!D92+'הצעת תקציב 2017 (3)'!D41+'הצעת תקציב 2017 (3)'!D32+'הצעת תקציב 2017 (3)'!D199</f>
        <v>-1670000</v>
      </c>
      <c r="G12" s="53" t="e">
        <f>'הצעת תקציב 2017 (3)'!#REF!+'הצעת תקציב 2017 (3)'!#REF!+'הצעת תקציב 2017 (3)'!#REF!+'הצעת תקציב 2017 (3)'!#REF!</f>
        <v>#REF!</v>
      </c>
      <c r="H12"/>
      <c r="I12" s="53">
        <f>'הצעת תקציב 2017 (3)'!E92+'הצעת תקציב 2017 (3)'!E41+'הצעת תקציב 2017 (3)'!E36+'הצעת תקציב 2017 (3)'!E199</f>
        <v>-805000</v>
      </c>
      <c r="J12" s="53">
        <f>I12-F12</f>
        <v>865000</v>
      </c>
      <c r="K12" s="88">
        <f>+I12/F12-1</f>
        <v>-0.51796407185628746</v>
      </c>
      <c r="L12" s="16"/>
      <c r="M12" s="16"/>
    </row>
    <row r="13" spans="1:13" ht="15" thickBot="1" x14ac:dyDescent="0.25">
      <c r="B13" s="65"/>
      <c r="C13" s="65"/>
      <c r="K13" s="89"/>
    </row>
    <row r="14" spans="1:13" s="2" customFormat="1" ht="15" thickBot="1" x14ac:dyDescent="0.25">
      <c r="A14"/>
      <c r="B14" s="51" t="s">
        <v>245</v>
      </c>
      <c r="C14" s="51"/>
      <c r="D14" s="53">
        <v>6511000</v>
      </c>
      <c r="E14" s="53" t="e">
        <f>'הצעת תקציב 2017 (3)'!#REF!+'הצעת תקציב 2017 (3)'!#REF!+'הצעת תקציב 2017 (3)'!#REF!+'הצעת תקציב 2017 (3)'!#REF!+'הצעת תקציב 2017 (3)'!#REF!</f>
        <v>#REF!</v>
      </c>
      <c r="F14" s="53">
        <f>'הצעת תקציב 2017 (3)'!D22+'הצעת תקציב 2017 (3)'!D38+'הצעת תקציב 2017 (3)'!D44+'הצעת תקציב 2017 (3)'!D146+'הצעת תקציב 2017 (3)'!D212</f>
        <v>6520000</v>
      </c>
      <c r="G14" s="53" t="e">
        <f>'הצעת תקציב 2017 (3)'!#REF!+'הצעת תקציב 2017 (3)'!#REF!+'הצעת תקציב 2017 (3)'!#REF!+'הצעת תקציב 2017 (3)'!#REF!+'הצעת תקציב 2017 (3)'!#REF!</f>
        <v>#REF!</v>
      </c>
      <c r="H14"/>
      <c r="I14" s="53">
        <f>'הצעת תקציב 2017 (3)'!E22+'הצעת תקציב 2017 (3)'!E38+'הצעת תקציב 2017 (3)'!E44+'הצעת תקציב 2017 (3)'!E146+'הצעת תקציב 2017 (3)'!E212</f>
        <v>6770000</v>
      </c>
      <c r="J14" s="53">
        <f>I14-F14</f>
        <v>250000</v>
      </c>
      <c r="K14" s="88">
        <f>+I14/F14-1</f>
        <v>3.8343558282208479E-2</v>
      </c>
      <c r="L14" s="16"/>
      <c r="M14" s="16"/>
    </row>
    <row r="15" spans="1:13" ht="15" thickBot="1" x14ac:dyDescent="0.25">
      <c r="B15" s="65"/>
      <c r="C15" s="65"/>
      <c r="K15" s="89"/>
    </row>
    <row r="16" spans="1:13" s="2" customFormat="1" ht="15" thickBot="1" x14ac:dyDescent="0.25">
      <c r="A16"/>
      <c r="B16" s="51" t="s">
        <v>240</v>
      </c>
      <c r="C16" s="51"/>
      <c r="D16" s="53">
        <v>1037000</v>
      </c>
      <c r="E16" s="53" t="e">
        <f>'הצעת תקציב 2017 (3)'!#REF!+'הצעת תקציב 2017 (3)'!#REF!+'הצעת תקציב 2017 (3)'!#REF!</f>
        <v>#REF!</v>
      </c>
      <c r="F16" s="53">
        <f>'הצעת תקציב 2017 (3)'!D159+'הצעת תקציב 2017 (3)'!D28+'הצעת תקציב 2017 (3)'!D27</f>
        <v>798000</v>
      </c>
      <c r="G16" s="53" t="e">
        <f>'הצעת תקציב 2017 (3)'!#REF!+'הצעת תקציב 2017 (3)'!#REF!+'הצעת תקציב 2017 (3)'!#REF!</f>
        <v>#REF!</v>
      </c>
      <c r="H16"/>
      <c r="I16" s="53">
        <f>'הצעת תקציב 2017 (3)'!E159+'הצעת תקציב 2017 (3)'!E28+'הצעת תקציב 2017 (3)'!E27</f>
        <v>435000</v>
      </c>
      <c r="J16" s="53">
        <f>I16-F16</f>
        <v>-363000</v>
      </c>
      <c r="K16" s="88">
        <f>+I16/F16-1</f>
        <v>-0.45488721804511278</v>
      </c>
      <c r="L16" s="41"/>
    </row>
    <row r="17" spans="1:13" ht="15" thickBot="1" x14ac:dyDescent="0.25">
      <c r="B17" s="65"/>
      <c r="C17" s="65"/>
      <c r="K17" s="89"/>
    </row>
    <row r="18" spans="1:13" s="2" customFormat="1" ht="15" thickBot="1" x14ac:dyDescent="0.25">
      <c r="A18"/>
      <c r="B18" s="51" t="s">
        <v>239</v>
      </c>
      <c r="C18" s="51"/>
      <c r="D18" s="53">
        <v>3235000.23</v>
      </c>
      <c r="E18" s="53" t="e">
        <f>'הצעת תקציב 2017 (3)'!#REF!+'הצעת תקציב 2017 (3)'!#REF!+'הצעת תקציב 2017 (3)'!#REF!+'הצעת תקציב 2017 (3)'!#REF!+'הצעת תקציב 2017 (3)'!#REF!+'הצעת תקציב 2017 (3)'!#REF!+'הצעת תקציב 2017 (3)'!#REF!+'הצעת תקציב 2017 (3)'!#REF!+'הצעת תקציב 2017 (3)'!#REF!</f>
        <v>#REF!</v>
      </c>
      <c r="F18" s="53">
        <f>'הצעת תקציב 2017 (3)'!D59+'הצעת תקציב 2017 (3)'!D69+'הצעת תקציב 2017 (3)'!D249+'הצעת תקציב 2017 (3)'!D282+'הצעת תקציב 2017 (3)'!D283+'הצעת תקציב 2017 (3)'!D284+'הצעת תקציב 2017 (3)'!D285+'הצעת תקציב 2017 (3)'!D286+'הצעת תקציב 2017 (3)'!D287</f>
        <v>3497000</v>
      </c>
      <c r="G18" s="53" t="e">
        <f>'הצעת תקציב 2017 (3)'!#REF!+'הצעת תקציב 2017 (3)'!#REF!+'הצעת תקציב 2017 (3)'!#REF!+'הצעת תקציב 2017 (3)'!#REF!+'הצעת תקציב 2017 (3)'!#REF!+'הצעת תקציב 2017 (3)'!#REF!+'הצעת תקציב 2017 (3)'!#REF!+'הצעת תקציב 2017 (3)'!#REF!+'הצעת תקציב 2017 (3)'!#REF!</f>
        <v>#REF!</v>
      </c>
      <c r="H18"/>
      <c r="I18" s="53">
        <f>'הצעת תקציב 2017 (3)'!E59+'הצעת תקציב 2017 (3)'!E69+'הצעת תקציב 2017 (3)'!E249+'הצעת תקציב 2017 (3)'!E282+'הצעת תקציב 2017 (3)'!E283+'הצעת תקציב 2017 (3)'!E284+'הצעת תקציב 2017 (3)'!E285+'הצעת תקציב 2017 (3)'!E286+'הצעת תקציב 2017 (3)'!E287</f>
        <v>3639000.2</v>
      </c>
      <c r="J18" s="53">
        <f>I18-F18</f>
        <v>142000.20000000019</v>
      </c>
      <c r="K18" s="88">
        <f>+I18/F18-1</f>
        <v>4.0606291106662917E-2</v>
      </c>
      <c r="L18" s="16"/>
      <c r="M18" s="16" t="s">
        <v>263</v>
      </c>
    </row>
    <row r="19" spans="1:13" ht="15" thickBot="1" x14ac:dyDescent="0.25">
      <c r="B19" s="65"/>
      <c r="C19" s="65"/>
      <c r="K19" s="89"/>
    </row>
    <row r="20" spans="1:13" s="2" customFormat="1" ht="15" thickBot="1" x14ac:dyDescent="0.25">
      <c r="A20"/>
      <c r="B20" s="51" t="s">
        <v>238</v>
      </c>
      <c r="C20" s="51"/>
      <c r="D20" s="53">
        <v>1983000</v>
      </c>
      <c r="E20" s="53" t="e">
        <f>'הצעת תקציב 2017 (3)'!#REF!+'הצעת תקציב 2017 (3)'!#REF!+'הצעת תקציב 2017 (3)'!#REF!+'הצעת תקציב 2017 (3)'!#REF!+'הצעת תקציב 2017 (3)'!#REF!</f>
        <v>#REF!</v>
      </c>
      <c r="F20" s="53">
        <f>'הצעת תקציב 2017 (3)'!D289+'הצעת תקציב 2017 (3)'!D288+'הצעת תקציב 2017 (3)'!D275+'הצעת תקציב 2017 (3)'!D70+'הצעת תקציב 2017 (3)'!D66</f>
        <v>1839000</v>
      </c>
      <c r="G20" s="53" t="e">
        <f>'הצעת תקציב 2017 (3)'!#REF!+'הצעת תקציב 2017 (3)'!#REF!+'הצעת תקציב 2017 (3)'!#REF!+'הצעת תקציב 2017 (3)'!#REF!+'הצעת תקציב 2017 (3)'!#REF!</f>
        <v>#REF!</v>
      </c>
      <c r="H20"/>
      <c r="I20" s="53">
        <f>'הצעת תקציב 2017 (3)'!E289+'הצעת תקציב 2017 (3)'!E288+'הצעת תקציב 2017 (3)'!E275+'הצעת תקציב 2017 (3)'!E70+'הצעת תקציב 2017 (3)'!E66</f>
        <v>1947000</v>
      </c>
      <c r="J20" s="53">
        <f>I20-F20</f>
        <v>108000</v>
      </c>
      <c r="K20" s="88">
        <f>+I20/F20-1</f>
        <v>5.8727569331158191E-2</v>
      </c>
      <c r="L20" s="16"/>
      <c r="M20" s="16"/>
    </row>
    <row r="21" spans="1:13" ht="15" thickBot="1" x14ac:dyDescent="0.25">
      <c r="B21" s="65"/>
      <c r="C21" s="65"/>
      <c r="K21" s="89"/>
    </row>
    <row r="22" spans="1:13" s="2" customFormat="1" ht="15" thickBot="1" x14ac:dyDescent="0.25">
      <c r="A22"/>
      <c r="B22" s="51" t="s">
        <v>246</v>
      </c>
      <c r="C22" s="51"/>
      <c r="D22" s="53">
        <v>-393000</v>
      </c>
      <c r="E22" s="53" t="e">
        <f>'הצעת תקציב 2017 (3)'!#REF!+'הצעת תקציב 2017 (3)'!#REF!+'הצעת תקציב 2017 (3)'!#REF!</f>
        <v>#REF!</v>
      </c>
      <c r="F22" s="53">
        <f>'הצעת תקציב 2017 (3)'!D81+'הצעת תקציב 2017 (3)'!D226+'הצעת תקציב 2017 (3)'!D25</f>
        <v>-220000</v>
      </c>
      <c r="G22" s="53" t="e">
        <f>'הצעת תקציב 2017 (3)'!#REF!+'הצעת תקציב 2017 (3)'!#REF!+'הצעת תקציב 2017 (3)'!#REF!</f>
        <v>#REF!</v>
      </c>
      <c r="H22"/>
      <c r="I22" s="53">
        <f>'הצעת תקציב 2017 (3)'!E81+'הצעת תקציב 2017 (3)'!E226+'הצעת תקציב 2017 (3)'!E25</f>
        <v>-185000</v>
      </c>
      <c r="J22" s="53">
        <f>I22-F22</f>
        <v>35000</v>
      </c>
      <c r="K22" s="88">
        <f>+I22/F22-1</f>
        <v>-0.15909090909090906</v>
      </c>
      <c r="L22" s="16"/>
      <c r="M22" s="16"/>
    </row>
    <row r="23" spans="1:13" ht="15" thickBot="1" x14ac:dyDescent="0.25">
      <c r="B23" s="65"/>
      <c r="C23" s="65"/>
      <c r="K23" s="89"/>
    </row>
    <row r="24" spans="1:13" s="2" customFormat="1" ht="15" thickBot="1" x14ac:dyDescent="0.25">
      <c r="A24"/>
      <c r="B24" s="51" t="s">
        <v>241</v>
      </c>
      <c r="C24" s="51"/>
      <c r="D24" s="53">
        <v>550000</v>
      </c>
      <c r="E24" s="53" t="e">
        <f>'הצעת תקציב 2017 (3)'!#REF!</f>
        <v>#REF!</v>
      </c>
      <c r="F24" s="53">
        <f>'הצעת תקציב 2017 (3)'!D293</f>
        <v>550000</v>
      </c>
      <c r="G24" s="53" t="e">
        <f>'הצעת תקציב 2017 (3)'!#REF!</f>
        <v>#REF!</v>
      </c>
      <c r="H24"/>
      <c r="I24" s="53">
        <f>'הצעת תקציב 2017 (3)'!E293</f>
        <v>544000</v>
      </c>
      <c r="J24" s="53">
        <f>I24-F24</f>
        <v>-6000</v>
      </c>
      <c r="K24" s="88">
        <f>+I24/F24-1</f>
        <v>-1.0909090909090868E-2</v>
      </c>
      <c r="L24" s="16"/>
      <c r="M24" s="16"/>
    </row>
    <row r="25" spans="1:13" ht="15" thickBot="1" x14ac:dyDescent="0.25">
      <c r="B25" s="65"/>
      <c r="C25" s="65"/>
      <c r="K25" s="89"/>
    </row>
    <row r="26" spans="1:13" s="2" customFormat="1" ht="15" thickBot="1" x14ac:dyDescent="0.25">
      <c r="A26"/>
      <c r="B26" s="51" t="s">
        <v>244</v>
      </c>
      <c r="C26" s="51"/>
      <c r="D26" s="53" t="e">
        <f>'הצעת תקציב 2017 (3)'!#REF!+'הצעת תקציב 2017 (3)'!#REF!+'הצעת תקציב 2017 (3)'!#REF!+'הצעת תקציב 2017 (3)'!#REF!+'הצעת תקציב 2017 (3)'!#REF!+'הצעת תקציב 2017 (3)'!#REF!+'הצעת תקציב 2017 (3)'!#REF!+'הצעת תקציב 2017 (3)'!#REF!</f>
        <v>#REF!</v>
      </c>
      <c r="E26" s="53" t="e">
        <f>'הצעת תקציב 2017 (3)'!#REF!+'הצעת תקציב 2017 (3)'!#REF!+'הצעת תקציב 2017 (3)'!#REF!+'הצעת תקציב 2017 (3)'!#REF!+'הצעת תקציב 2017 (3)'!#REF!+'הצעת תקציב 2017 (3)'!#REF!+'הצעת תקציב 2017 (3)'!#REF!+'הצעת תקציב 2017 (3)'!#REF!</f>
        <v>#REF!</v>
      </c>
      <c r="F26" s="53">
        <f>'הצעת תקציב 2017 (3)'!D139+'הצעת תקציב 2017 (3)'!D214+'הצעת תקציב 2017 (3)'!D278+'הצעת תקציב 2017 (3)'!D298+'הצעת תקציב 2017 (3)'!D299+'הצעת תקציב 2017 (3)'!D304+'הצעת תקציב 2017 (3)'!D24+'הצעת תקציב 2017 (3)'!D300</f>
        <v>5733000</v>
      </c>
      <c r="G26" s="53" t="e">
        <f>'הצעת תקציב 2017 (3)'!#REF!+'הצעת תקציב 2017 (3)'!#REF!+'הצעת תקציב 2017 (3)'!#REF!+'הצעת תקציב 2017 (3)'!#REF!+'הצעת תקציב 2017 (3)'!#REF!+'הצעת תקציב 2017 (3)'!#REF!+'הצעת תקציב 2017 (3)'!#REF!+'הצעת תקציב 2017 (3)'!#REF!</f>
        <v>#REF!</v>
      </c>
      <c r="H26"/>
      <c r="I26" s="53">
        <f>'הצעת תקציב 2017 (3)'!E139+'הצעת תקציב 2017 (3)'!E214+'הצעת תקציב 2017 (3)'!E278+'הצעת תקציב 2017 (3)'!E298+'הצעת תקציב 2017 (3)'!E299+'הצעת תקציב 2017 (3)'!E304</f>
        <v>5310000</v>
      </c>
      <c r="J26" s="53">
        <f>I26-F26</f>
        <v>-423000</v>
      </c>
      <c r="K26" s="88">
        <f>+I26/F26-1</f>
        <v>-7.3783359497645251E-2</v>
      </c>
      <c r="L26" s="16"/>
      <c r="M26" s="16"/>
    </row>
    <row r="27" spans="1:13" ht="15" thickBot="1" x14ac:dyDescent="0.25">
      <c r="B27" s="65"/>
      <c r="C27" s="65"/>
      <c r="K27" s="89"/>
    </row>
    <row r="28" spans="1:13" s="2" customFormat="1" ht="15" thickBot="1" x14ac:dyDescent="0.25">
      <c r="A28"/>
      <c r="B28" s="51" t="s">
        <v>171</v>
      </c>
      <c r="C28" s="51"/>
      <c r="D28" s="53">
        <v>479000</v>
      </c>
      <c r="E28" s="53" t="e">
        <f>'הצעת תקציב 2017 (3)'!#REF!</f>
        <v>#REF!</v>
      </c>
      <c r="F28" s="53">
        <f>'הצעת תקציב 2017 (3)'!D305</f>
        <v>166000</v>
      </c>
      <c r="G28" s="53" t="e">
        <f>'הצעת תקציב 2017 (3)'!#REF!</f>
        <v>#REF!</v>
      </c>
      <c r="H28"/>
      <c r="I28" s="53">
        <f>'הצעת תקציב 2017 (3)'!E305+'הצעת תקציב 2017 (3)'!E300</f>
        <v>1210000</v>
      </c>
      <c r="J28" s="53">
        <f>I28-F28</f>
        <v>1044000</v>
      </c>
      <c r="K28" s="88">
        <f>+I28/F28-1</f>
        <v>6.2891566265060241</v>
      </c>
      <c r="L28" s="16"/>
      <c r="M28" s="16" t="s">
        <v>251</v>
      </c>
    </row>
    <row r="29" spans="1:13" ht="15" thickBot="1" x14ac:dyDescent="0.25">
      <c r="B29" s="65"/>
      <c r="C29" s="65"/>
      <c r="K29" s="89"/>
    </row>
    <row r="30" spans="1:13" s="2" customFormat="1" ht="15" thickBot="1" x14ac:dyDescent="0.25">
      <c r="A30"/>
      <c r="B30" s="51" t="s">
        <v>5</v>
      </c>
      <c r="C30" s="51"/>
      <c r="D30" s="53">
        <v>994000</v>
      </c>
      <c r="E30" s="53" t="e">
        <f>'הצעת תקציב 2017 (3)'!#REF!+'הצעת תקציב 2017 (3)'!#REF!+'הצעת תקציב 2017 (3)'!#REF!</f>
        <v>#REF!</v>
      </c>
      <c r="F30" s="53">
        <f>'הצעת תקציב 2017 (3)'!D302+'הצעת תקציב 2017 (3)'!D303+'הצעת תקציב 2017 (3)'!D301</f>
        <v>540000</v>
      </c>
      <c r="G30" s="53" t="e">
        <f>'הצעת תקציב 2017 (3)'!#REF!+'הצעת תקציב 2017 (3)'!#REF!+'הצעת תקציב 2017 (3)'!#REF!</f>
        <v>#REF!</v>
      </c>
      <c r="H30"/>
      <c r="I30" s="53">
        <f>'הצעת תקציב 2017 (3)'!E301+'הצעת תקציב 2017 (3)'!E302+'הצעת תקציב 2017 (3)'!E303</f>
        <v>525000</v>
      </c>
      <c r="J30" s="53">
        <f>I30-F30</f>
        <v>-15000</v>
      </c>
      <c r="K30" s="88">
        <f>+I30/F30-1</f>
        <v>-2.777777777777779E-2</v>
      </c>
      <c r="L30" s="16"/>
      <c r="M30" s="71" t="s">
        <v>272</v>
      </c>
    </row>
    <row r="31" spans="1:13" x14ac:dyDescent="0.2">
      <c r="K31" s="89"/>
    </row>
    <row r="32" spans="1:13" x14ac:dyDescent="0.2">
      <c r="D32" s="69" t="e">
        <f>SUM(D8:D30)</f>
        <v>#REF!</v>
      </c>
      <c r="E32" s="69" t="e">
        <f>SUM(E8:E30)</f>
        <v>#REF!</v>
      </c>
      <c r="F32" s="69">
        <f>SUM(F8:F30)</f>
        <v>0</v>
      </c>
      <c r="G32" s="69" t="e">
        <f>SUM(G8:G30)</f>
        <v>#REF!</v>
      </c>
      <c r="I32" s="66">
        <f>SUM(I8:I30)</f>
        <v>0.19999999925494194</v>
      </c>
    </row>
    <row r="34" spans="2:10" ht="15" x14ac:dyDescent="0.25">
      <c r="B34" t="s">
        <v>250</v>
      </c>
      <c r="D34" s="70" t="e">
        <f>-'הצעת תקציב 2017 (3)'!#REF!</f>
        <v>#REF!</v>
      </c>
      <c r="E34" s="70" t="e">
        <f>-'הצעת תקציב 2017 (3)'!#REF!</f>
        <v>#REF!</v>
      </c>
      <c r="F34" s="70">
        <f>-'הצעת תקציב 2017 (3)'!D96</f>
        <v>35743000</v>
      </c>
      <c r="G34" s="70" t="e">
        <f>-'הצעת תקציב 2017 (3)'!#REF!</f>
        <v>#REF!</v>
      </c>
      <c r="I34" s="70">
        <f>-'הצעת תקציב 2017 (3)'!E96</f>
        <v>37200000</v>
      </c>
      <c r="J34" s="66">
        <f>SUM(J8:J30)</f>
        <v>0.20000000018626451</v>
      </c>
    </row>
    <row r="36" spans="2:10" x14ac:dyDescent="0.2">
      <c r="E36">
        <v>8790662</v>
      </c>
      <c r="I36" s="66"/>
    </row>
    <row r="37" spans="2:10" x14ac:dyDescent="0.2">
      <c r="E37" s="66" t="e">
        <f>E36+E32</f>
        <v>#REF!</v>
      </c>
    </row>
  </sheetData>
  <pageMargins left="0.70866141732283472" right="0.70866141732283472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11"/>
  <sheetViews>
    <sheetView rightToLeft="1" tabSelected="1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F61" sqref="F61"/>
    </sheetView>
  </sheetViews>
  <sheetFormatPr defaultRowHeight="15.95" customHeight="1" x14ac:dyDescent="0.2"/>
  <cols>
    <col min="1" max="1" width="7.875" style="1" customWidth="1"/>
    <col min="2" max="2" width="14.25" style="33" customWidth="1"/>
    <col min="3" max="3" width="44.375" style="33" bestFit="1" customWidth="1"/>
    <col min="4" max="4" width="13.375" style="42" customWidth="1"/>
    <col min="5" max="5" width="12.25" style="42" bestFit="1" customWidth="1"/>
    <col min="6" max="6" width="13.125" style="42" customWidth="1"/>
    <col min="7" max="7" width="11.875" style="42" bestFit="1" customWidth="1"/>
    <col min="8" max="8" width="14.25" style="42" bestFit="1" customWidth="1"/>
    <col min="9" max="9" width="16.25" style="42" customWidth="1"/>
    <col min="10" max="10" width="15" style="42" customWidth="1"/>
    <col min="11" max="11" width="13.75" style="42" hidden="1" customWidth="1"/>
    <col min="12" max="12" width="14" style="33" hidden="1" customWidth="1"/>
    <col min="13" max="13" width="52.5" style="43" hidden="1" customWidth="1"/>
    <col min="14" max="14" width="1.375" style="20" customWidth="1"/>
    <col min="15" max="15" width="23.75" style="16" hidden="1" customWidth="1"/>
    <col min="16" max="16" width="11.75" style="16" hidden="1" customWidth="1"/>
    <col min="17" max="17" width="16" style="2" hidden="1" customWidth="1"/>
    <col min="18" max="18" width="38.875" style="2" hidden="1" customWidth="1"/>
    <col min="19" max="21" width="0" style="2" hidden="1" customWidth="1"/>
    <col min="22" max="24" width="9" style="2"/>
    <col min="25" max="25" width="9.875" style="2" bestFit="1" customWidth="1"/>
    <col min="26" max="26" width="9" style="2"/>
    <col min="27" max="27" width="9.875" style="2" bestFit="1" customWidth="1"/>
    <col min="28" max="16384" width="9" style="2"/>
  </cols>
  <sheetData>
    <row r="2" spans="1:16" ht="15.95" customHeight="1" x14ac:dyDescent="0.2">
      <c r="D2" s="46"/>
      <c r="E2" s="46"/>
      <c r="F2" s="46"/>
      <c r="G2" s="46"/>
      <c r="H2" s="46"/>
      <c r="I2" s="46"/>
      <c r="J2" s="46"/>
      <c r="K2" s="46"/>
      <c r="L2" s="45"/>
      <c r="M2" s="44"/>
      <c r="N2" s="11"/>
      <c r="O2" s="11"/>
      <c r="P2" s="11"/>
    </row>
    <row r="3" spans="1:16" ht="15.95" customHeight="1" thickBot="1" x14ac:dyDescent="0.35">
      <c r="B3" s="34"/>
      <c r="C3" s="47"/>
      <c r="D3" s="48"/>
      <c r="E3" s="48"/>
      <c r="F3" s="48"/>
      <c r="G3" s="48"/>
      <c r="H3" s="48"/>
      <c r="I3" s="48"/>
      <c r="J3" s="48"/>
      <c r="K3" s="49"/>
      <c r="L3" s="12"/>
      <c r="M3" s="18" t="s">
        <v>231</v>
      </c>
      <c r="N3" s="18"/>
      <c r="O3" s="12"/>
      <c r="P3" s="12"/>
    </row>
    <row r="4" spans="1:16" s="73" customFormat="1" ht="32.25" customHeight="1" thickBot="1" x14ac:dyDescent="0.25">
      <c r="A4" s="5" t="s">
        <v>177</v>
      </c>
      <c r="B4" s="35" t="s">
        <v>0</v>
      </c>
      <c r="C4" s="75" t="s">
        <v>1</v>
      </c>
      <c r="D4" s="74" t="s">
        <v>274</v>
      </c>
      <c r="E4" s="52" t="s">
        <v>273</v>
      </c>
      <c r="F4" s="53" t="s">
        <v>196</v>
      </c>
      <c r="G4" s="19"/>
      <c r="H4" s="13"/>
      <c r="I4" s="13"/>
    </row>
    <row r="5" spans="1:16" ht="15.95" customHeight="1" x14ac:dyDescent="0.2">
      <c r="A5" s="4"/>
      <c r="B5" s="36">
        <v>0</v>
      </c>
      <c r="C5" s="36"/>
      <c r="D5" s="54"/>
      <c r="E5" s="54"/>
      <c r="F5" s="54"/>
      <c r="G5" s="20"/>
      <c r="H5" s="9"/>
      <c r="I5" s="9"/>
      <c r="J5" s="41"/>
      <c r="K5" s="2"/>
      <c r="L5" s="2"/>
      <c r="M5" s="2"/>
      <c r="N5" s="2"/>
      <c r="O5" s="2"/>
      <c r="P5" s="2"/>
    </row>
    <row r="6" spans="1:16" ht="15.95" customHeight="1" x14ac:dyDescent="0.2">
      <c r="A6" s="3">
        <v>0</v>
      </c>
      <c r="B6" s="8">
        <v>1111001100</v>
      </c>
      <c r="C6" s="8" t="s">
        <v>2</v>
      </c>
      <c r="D6" s="24">
        <v>-13310000</v>
      </c>
      <c r="E6" s="24">
        <f>-[1]גיליון1!$Q$39</f>
        <v>-14779000</v>
      </c>
      <c r="F6" s="24">
        <f>+E6-D6</f>
        <v>-1469000</v>
      </c>
      <c r="G6" s="31"/>
      <c r="H6" s="14"/>
      <c r="I6" s="14"/>
      <c r="J6" s="7"/>
      <c r="K6" s="2">
        <f>9109000*0.95</f>
        <v>8653550</v>
      </c>
      <c r="L6" s="2"/>
      <c r="M6" s="2"/>
      <c r="N6" s="2"/>
      <c r="O6" s="2"/>
      <c r="P6" s="2"/>
    </row>
    <row r="7" spans="1:16" ht="15.95" customHeight="1" x14ac:dyDescent="0.2">
      <c r="A7" s="3">
        <v>0</v>
      </c>
      <c r="B7" s="8">
        <v>1111999999</v>
      </c>
      <c r="C7" s="8" t="s">
        <v>3</v>
      </c>
      <c r="D7" s="24"/>
      <c r="E7" s="24"/>
      <c r="F7" s="24">
        <f>+E7-D7</f>
        <v>0</v>
      </c>
      <c r="G7" s="20"/>
      <c r="H7" s="2"/>
      <c r="I7" s="2"/>
      <c r="J7" s="2"/>
      <c r="K7" s="2"/>
      <c r="L7" s="2"/>
      <c r="M7" s="2"/>
      <c r="N7" s="2"/>
      <c r="O7" s="2"/>
      <c r="P7" s="2"/>
    </row>
    <row r="8" spans="1:16" s="93" customFormat="1" ht="15.95" customHeight="1" x14ac:dyDescent="0.2">
      <c r="A8" s="92">
        <v>0</v>
      </c>
      <c r="B8" s="8">
        <v>1112001101</v>
      </c>
      <c r="C8" s="8" t="s">
        <v>4</v>
      </c>
      <c r="D8" s="24">
        <v>-3700000</v>
      </c>
      <c r="E8" s="24">
        <f>-[1]גיליון1!$Q$38</f>
        <v>-3883000</v>
      </c>
      <c r="F8" s="24">
        <f>+E8-D8</f>
        <v>-183000</v>
      </c>
      <c r="G8" s="20"/>
    </row>
    <row r="9" spans="1:16" s="93" customFormat="1" ht="15.95" customHeight="1" x14ac:dyDescent="0.2">
      <c r="A9" s="94"/>
      <c r="B9" s="37">
        <v>0</v>
      </c>
      <c r="C9" s="37" t="s">
        <v>232</v>
      </c>
      <c r="D9" s="25"/>
      <c r="E9" s="25"/>
      <c r="F9" s="24">
        <f>+E9-D9</f>
        <v>0</v>
      </c>
      <c r="G9" s="20"/>
    </row>
    <row r="10" spans="1:16" s="93" customFormat="1" ht="15.95" customHeight="1" thickBot="1" x14ac:dyDescent="0.25">
      <c r="A10" s="94">
        <v>0</v>
      </c>
      <c r="B10" s="37">
        <v>1113001110</v>
      </c>
      <c r="C10" s="37" t="s">
        <v>5</v>
      </c>
      <c r="D10" s="25">
        <v>-540000</v>
      </c>
      <c r="E10" s="25">
        <f>-[1]גיליון1!$Q$41</f>
        <v>-525000</v>
      </c>
      <c r="F10" s="24">
        <f>+E10-D10</f>
        <v>15000</v>
      </c>
      <c r="G10" s="20"/>
    </row>
    <row r="11" spans="1:16" s="93" customFormat="1" ht="15.95" customHeight="1" thickBot="1" x14ac:dyDescent="0.3">
      <c r="A11" s="95">
        <v>1</v>
      </c>
      <c r="B11" s="38">
        <v>211</v>
      </c>
      <c r="C11" s="38" t="s">
        <v>6</v>
      </c>
      <c r="D11" s="29">
        <f>SUM(D6:D10)</f>
        <v>-17550000</v>
      </c>
      <c r="E11" s="29">
        <f t="shared" ref="E11:F11" si="0">SUM(E6:E10)</f>
        <v>-19187000</v>
      </c>
      <c r="F11" s="29">
        <f t="shared" si="0"/>
        <v>-1637000</v>
      </c>
      <c r="G11" s="20"/>
    </row>
    <row r="12" spans="1:16" s="93" customFormat="1" ht="15.95" customHeight="1" x14ac:dyDescent="0.25">
      <c r="A12" s="96"/>
      <c r="B12" s="26">
        <v>0</v>
      </c>
      <c r="C12" s="26"/>
      <c r="D12" s="56"/>
      <c r="E12" s="56"/>
      <c r="F12" s="56"/>
      <c r="G12" s="20"/>
    </row>
    <row r="13" spans="1:16" s="93" customFormat="1" ht="15.95" customHeight="1" thickBot="1" x14ac:dyDescent="0.25">
      <c r="A13" s="97">
        <v>0</v>
      </c>
      <c r="B13" s="39">
        <v>1129000420</v>
      </c>
      <c r="C13" s="39" t="s">
        <v>216</v>
      </c>
      <c r="D13" s="40">
        <v>-30000</v>
      </c>
      <c r="E13" s="40">
        <v>-30000</v>
      </c>
      <c r="F13" s="24">
        <f>+E13-D13</f>
        <v>0</v>
      </c>
      <c r="G13" s="20"/>
    </row>
    <row r="14" spans="1:16" s="93" customFormat="1" ht="15.95" customHeight="1" thickBot="1" x14ac:dyDescent="0.3">
      <c r="A14" s="95">
        <v>1</v>
      </c>
      <c r="B14" s="38">
        <v>212</v>
      </c>
      <c r="C14" s="38" t="s">
        <v>7</v>
      </c>
      <c r="D14" s="29">
        <f>+D13</f>
        <v>-30000</v>
      </c>
      <c r="E14" s="29">
        <f t="shared" ref="E14:F14" si="1">+E13</f>
        <v>-30000</v>
      </c>
      <c r="F14" s="29">
        <f t="shared" si="1"/>
        <v>0</v>
      </c>
      <c r="G14" s="20"/>
    </row>
    <row r="15" spans="1:16" s="93" customFormat="1" ht="15.95" customHeight="1" thickBot="1" x14ac:dyDescent="0.3">
      <c r="A15" s="95">
        <v>3</v>
      </c>
      <c r="B15" s="38">
        <v>0</v>
      </c>
      <c r="C15" s="38" t="s">
        <v>198</v>
      </c>
      <c r="D15" s="58">
        <f>+D11+D14</f>
        <v>-17580000</v>
      </c>
      <c r="E15" s="58">
        <f t="shared" ref="E15:F15" si="2">+E11+E14</f>
        <v>-19217000</v>
      </c>
      <c r="F15" s="58">
        <f t="shared" si="2"/>
        <v>-1637000</v>
      </c>
      <c r="G15" s="21"/>
    </row>
    <row r="16" spans="1:16" s="93" customFormat="1" ht="15.95" customHeight="1" x14ac:dyDescent="0.2">
      <c r="A16" s="98"/>
      <c r="B16" s="36">
        <v>0</v>
      </c>
      <c r="C16" s="36"/>
      <c r="D16" s="54"/>
      <c r="E16" s="54"/>
      <c r="F16" s="54"/>
      <c r="G16" s="20"/>
    </row>
    <row r="17" spans="1:7" s="93" customFormat="1" ht="15.95" customHeight="1" x14ac:dyDescent="0.2">
      <c r="A17" s="92">
        <v>0</v>
      </c>
      <c r="B17" s="8">
        <v>1212400220</v>
      </c>
      <c r="C17" s="8" t="s">
        <v>230</v>
      </c>
      <c r="D17" s="24">
        <v>0</v>
      </c>
      <c r="E17" s="24">
        <f>-[2]סיכומים!$D$51</f>
        <v>-68500</v>
      </c>
      <c r="F17" s="24">
        <f>+E17-D17</f>
        <v>-68500</v>
      </c>
      <c r="G17" s="20"/>
    </row>
    <row r="18" spans="1:7" s="93" customFormat="1" ht="15.95" customHeight="1" x14ac:dyDescent="0.2">
      <c r="A18" s="92">
        <v>0</v>
      </c>
      <c r="B18" s="8">
        <v>1214200220</v>
      </c>
      <c r="C18" s="8" t="s">
        <v>8</v>
      </c>
      <c r="D18" s="24">
        <v>-3000</v>
      </c>
      <c r="E18" s="24">
        <v>-19000</v>
      </c>
      <c r="F18" s="24">
        <f>+E18-D18</f>
        <v>-16000</v>
      </c>
      <c r="G18" s="20"/>
    </row>
    <row r="19" spans="1:7" s="93" customFormat="1" ht="15.95" customHeight="1" x14ac:dyDescent="0.2">
      <c r="A19" s="94">
        <v>0</v>
      </c>
      <c r="B19" s="37">
        <v>1214300220</v>
      </c>
      <c r="C19" s="37" t="s">
        <v>9</v>
      </c>
      <c r="D19" s="24">
        <f>-6000-2000-7000</f>
        <v>-15000</v>
      </c>
      <c r="E19" s="24">
        <v>-8000</v>
      </c>
      <c r="F19" s="24">
        <f>+E19-D19</f>
        <v>7000</v>
      </c>
      <c r="G19" s="20"/>
    </row>
    <row r="20" spans="1:7" s="93" customFormat="1" ht="15.95" customHeight="1" x14ac:dyDescent="0.2">
      <c r="A20" s="97"/>
      <c r="B20" s="39">
        <v>1214400220</v>
      </c>
      <c r="C20" s="39" t="s">
        <v>222</v>
      </c>
      <c r="D20" s="24">
        <v>-19000</v>
      </c>
      <c r="E20" s="24">
        <v>-6500</v>
      </c>
      <c r="F20" s="24">
        <f>+E20-D20</f>
        <v>12500</v>
      </c>
      <c r="G20" s="20"/>
    </row>
    <row r="21" spans="1:7" s="93" customFormat="1" ht="15.95" customHeight="1" thickBot="1" x14ac:dyDescent="0.25">
      <c r="A21" s="97"/>
      <c r="B21" s="39">
        <v>1214500220</v>
      </c>
      <c r="C21" s="39" t="s">
        <v>223</v>
      </c>
      <c r="D21" s="68">
        <f>-'[3]מערכ'' ביוב'!$D$20</f>
        <v>-46000</v>
      </c>
      <c r="E21" s="68">
        <v>-46000</v>
      </c>
      <c r="F21" s="24">
        <f>+E21-D21</f>
        <v>0</v>
      </c>
      <c r="G21" s="20" t="s">
        <v>254</v>
      </c>
    </row>
    <row r="22" spans="1:7" s="93" customFormat="1" ht="15.95" customHeight="1" thickBot="1" x14ac:dyDescent="0.3">
      <c r="A22" s="95">
        <v>1</v>
      </c>
      <c r="B22" s="38">
        <v>221</v>
      </c>
      <c r="C22" s="38" t="s">
        <v>10</v>
      </c>
      <c r="D22" s="29">
        <f>SUM(D17:D21)</f>
        <v>-83000</v>
      </c>
      <c r="E22" s="29">
        <f t="shared" ref="E22:F22" si="3">SUM(E17:E21)</f>
        <v>-148000</v>
      </c>
      <c r="F22" s="55">
        <f t="shared" si="3"/>
        <v>-65000</v>
      </c>
      <c r="G22" s="21"/>
    </row>
    <row r="23" spans="1:7" s="93" customFormat="1" ht="15.95" customHeight="1" thickBot="1" x14ac:dyDescent="0.3">
      <c r="A23" s="95">
        <v>2</v>
      </c>
      <c r="B23" s="38">
        <v>0</v>
      </c>
      <c r="C23" s="38" t="s">
        <v>11</v>
      </c>
      <c r="D23" s="29">
        <f>+D22</f>
        <v>-83000</v>
      </c>
      <c r="E23" s="29">
        <f t="shared" ref="E23:F23" si="4">+E22</f>
        <v>-148000</v>
      </c>
      <c r="F23" s="29">
        <f t="shared" si="4"/>
        <v>-65000</v>
      </c>
      <c r="G23" s="21"/>
    </row>
    <row r="24" spans="1:7" s="93" customFormat="1" ht="15.95" customHeight="1" x14ac:dyDescent="0.2">
      <c r="A24" s="98"/>
      <c r="B24" s="36">
        <v>1226000910</v>
      </c>
      <c r="C24" s="36" t="s">
        <v>269</v>
      </c>
      <c r="D24" s="54"/>
      <c r="E24" s="54"/>
      <c r="F24" s="54"/>
      <c r="G24" s="20"/>
    </row>
    <row r="25" spans="1:7" s="93" customFormat="1" ht="15.95" customHeight="1" x14ac:dyDescent="0.2">
      <c r="A25" s="92">
        <v>0</v>
      </c>
      <c r="B25" s="8">
        <v>1220000220</v>
      </c>
      <c r="C25" s="8" t="s">
        <v>12</v>
      </c>
      <c r="D25" s="24">
        <v>-150000</v>
      </c>
      <c r="E25" s="24">
        <v>-100000</v>
      </c>
      <c r="F25" s="24">
        <f>+E25-D25</f>
        <v>50000</v>
      </c>
      <c r="G25" s="20"/>
    </row>
    <row r="26" spans="1:7" s="93" customFormat="1" ht="15.95" customHeight="1" x14ac:dyDescent="0.2">
      <c r="A26" s="92">
        <v>0</v>
      </c>
      <c r="B26" s="8">
        <v>1222000290</v>
      </c>
      <c r="C26" s="8" t="s">
        <v>13</v>
      </c>
      <c r="D26" s="24"/>
      <c r="E26" s="24"/>
      <c r="F26" s="24">
        <f>+E26-D26</f>
        <v>0</v>
      </c>
      <c r="G26" s="20"/>
    </row>
    <row r="27" spans="1:7" s="93" customFormat="1" ht="15.95" customHeight="1" x14ac:dyDescent="0.2">
      <c r="A27" s="92">
        <v>0</v>
      </c>
      <c r="B27" s="8">
        <v>1222000420</v>
      </c>
      <c r="C27" s="8" t="s">
        <v>14</v>
      </c>
      <c r="D27" s="24">
        <v>-480000</v>
      </c>
      <c r="E27" s="24">
        <v>-970000</v>
      </c>
      <c r="F27" s="24">
        <f>+E27-D27</f>
        <v>-490000</v>
      </c>
      <c r="G27" s="20"/>
    </row>
    <row r="28" spans="1:7" s="93" customFormat="1" ht="15.95" customHeight="1" thickBot="1" x14ac:dyDescent="0.25">
      <c r="A28" s="97"/>
      <c r="B28" s="39">
        <v>1222000994</v>
      </c>
      <c r="C28" s="8" t="s">
        <v>127</v>
      </c>
      <c r="D28" s="24">
        <v>-26000</v>
      </c>
      <c r="E28" s="24">
        <v>-26000</v>
      </c>
      <c r="F28" s="24">
        <f>+E28-D28</f>
        <v>0</v>
      </c>
      <c r="G28" s="20"/>
    </row>
    <row r="29" spans="1:7" s="93" customFormat="1" ht="15.95" customHeight="1" thickBot="1" x14ac:dyDescent="0.3">
      <c r="A29" s="95">
        <v>1</v>
      </c>
      <c r="B29" s="38">
        <v>222</v>
      </c>
      <c r="C29" s="38" t="s">
        <v>15</v>
      </c>
      <c r="D29" s="29">
        <f>SUM(D25:D28)</f>
        <v>-656000</v>
      </c>
      <c r="E29" s="29">
        <f t="shared" ref="E29:F29" si="5">SUM(E25:E28)</f>
        <v>-1096000</v>
      </c>
      <c r="F29" s="29">
        <f t="shared" si="5"/>
        <v>-440000</v>
      </c>
      <c r="G29" s="21"/>
    </row>
    <row r="30" spans="1:7" s="93" customFormat="1" ht="15.95" customHeight="1" thickBot="1" x14ac:dyDescent="0.3">
      <c r="A30" s="95">
        <v>2</v>
      </c>
      <c r="B30" s="38">
        <v>0</v>
      </c>
      <c r="C30" s="38" t="s">
        <v>16</v>
      </c>
      <c r="D30" s="29">
        <f>+D29</f>
        <v>-656000</v>
      </c>
      <c r="E30" s="29">
        <f t="shared" ref="E30:F30" si="6">+E29</f>
        <v>-1096000</v>
      </c>
      <c r="F30" s="55">
        <f t="shared" si="6"/>
        <v>-440000</v>
      </c>
      <c r="G30" s="21"/>
    </row>
    <row r="31" spans="1:7" s="93" customFormat="1" ht="15.95" customHeight="1" x14ac:dyDescent="0.2">
      <c r="A31" s="98"/>
      <c r="B31" s="36">
        <v>0</v>
      </c>
      <c r="C31" s="39"/>
      <c r="D31" s="40"/>
      <c r="E31" s="40"/>
      <c r="F31" s="40"/>
      <c r="G31" s="20"/>
    </row>
    <row r="32" spans="1:7" s="93" customFormat="1" ht="15.95" customHeight="1" x14ac:dyDescent="0.25">
      <c r="A32" s="94">
        <v>0</v>
      </c>
      <c r="B32" s="37">
        <v>1233100290</v>
      </c>
      <c r="C32" s="8" t="s">
        <v>17</v>
      </c>
      <c r="D32" s="78">
        <v>-50000</v>
      </c>
      <c r="E32" s="78">
        <v>-80000</v>
      </c>
      <c r="F32" s="79">
        <f>+E32-D32</f>
        <v>-30000</v>
      </c>
      <c r="G32" s="20"/>
    </row>
    <row r="33" spans="1:7" s="93" customFormat="1" ht="27" customHeight="1" x14ac:dyDescent="0.25">
      <c r="A33" s="97"/>
      <c r="B33" s="39" t="s">
        <v>268</v>
      </c>
      <c r="C33" s="80" t="s">
        <v>287</v>
      </c>
      <c r="D33" s="78"/>
      <c r="E33" s="78">
        <f>-700000+700000</f>
        <v>0</v>
      </c>
      <c r="F33" s="79">
        <f>+E33-D33</f>
        <v>0</v>
      </c>
      <c r="G33" s="20"/>
    </row>
    <row r="34" spans="1:7" s="93" customFormat="1" ht="30" customHeight="1" x14ac:dyDescent="0.25">
      <c r="A34" s="97"/>
      <c r="B34" s="39" t="s">
        <v>268</v>
      </c>
      <c r="C34" s="80" t="s">
        <v>288</v>
      </c>
      <c r="D34" s="78"/>
      <c r="E34" s="78">
        <f>-1500000+1500000</f>
        <v>0</v>
      </c>
      <c r="F34" s="79">
        <f>+E34-D34</f>
        <v>0</v>
      </c>
      <c r="G34" s="20"/>
    </row>
    <row r="35" spans="1:7" s="93" customFormat="1" ht="15.95" customHeight="1" thickBot="1" x14ac:dyDescent="0.3">
      <c r="A35" s="97"/>
      <c r="B35" s="39"/>
      <c r="C35" s="39"/>
      <c r="D35" s="57"/>
      <c r="E35" s="57"/>
      <c r="F35" s="40"/>
      <c r="G35" s="20"/>
    </row>
    <row r="36" spans="1:7" s="93" customFormat="1" ht="15.95" customHeight="1" thickBot="1" x14ac:dyDescent="0.3">
      <c r="A36" s="95">
        <v>2</v>
      </c>
      <c r="B36" s="38">
        <v>0</v>
      </c>
      <c r="C36" s="81" t="s">
        <v>18</v>
      </c>
      <c r="D36" s="58">
        <f t="shared" ref="D36:F36" si="7">SUM(D32:D34)</f>
        <v>-50000</v>
      </c>
      <c r="E36" s="58">
        <f t="shared" si="7"/>
        <v>-80000</v>
      </c>
      <c r="F36" s="58">
        <f t="shared" si="7"/>
        <v>-30000</v>
      </c>
      <c r="G36" s="21"/>
    </row>
    <row r="37" spans="1:7" s="93" customFormat="1" ht="15.95" customHeight="1" x14ac:dyDescent="0.2">
      <c r="A37" s="98"/>
      <c r="B37" s="36">
        <v>0</v>
      </c>
      <c r="C37" s="36"/>
      <c r="D37" s="54"/>
      <c r="E37" s="54"/>
      <c r="F37" s="54"/>
      <c r="G37" s="20"/>
    </row>
    <row r="38" spans="1:7" s="93" customFormat="1" ht="15.95" customHeight="1" thickBot="1" x14ac:dyDescent="0.25">
      <c r="A38" s="94">
        <v>0</v>
      </c>
      <c r="B38" s="37">
        <v>1244400991</v>
      </c>
      <c r="C38" s="37" t="s">
        <v>217</v>
      </c>
      <c r="D38" s="25">
        <f>-120000*0.7</f>
        <v>-84000</v>
      </c>
      <c r="E38" s="25">
        <f>-[2]סיכומים!$D$54</f>
        <v>-74000</v>
      </c>
      <c r="F38" s="24">
        <f>+E38-D38</f>
        <v>10000</v>
      </c>
      <c r="G38" s="20"/>
    </row>
    <row r="39" spans="1:7" s="93" customFormat="1" ht="15.95" customHeight="1" thickBot="1" x14ac:dyDescent="0.3">
      <c r="A39" s="95">
        <v>2</v>
      </c>
      <c r="B39" s="38">
        <v>0</v>
      </c>
      <c r="C39" s="38" t="s">
        <v>20</v>
      </c>
      <c r="D39" s="58">
        <f>+D38</f>
        <v>-84000</v>
      </c>
      <c r="E39" s="58">
        <f t="shared" ref="E39:F39" si="8">+E38</f>
        <v>-74000</v>
      </c>
      <c r="F39" s="58">
        <f t="shared" si="8"/>
        <v>10000</v>
      </c>
      <c r="G39" s="21"/>
    </row>
    <row r="40" spans="1:7" s="93" customFormat="1" ht="15.95" customHeight="1" x14ac:dyDescent="0.2">
      <c r="A40" s="98"/>
      <c r="B40" s="36">
        <v>0</v>
      </c>
      <c r="C40" s="36"/>
      <c r="D40" s="54"/>
      <c r="E40" s="54"/>
      <c r="F40" s="54"/>
      <c r="G40" s="20"/>
    </row>
    <row r="41" spans="1:7" s="93" customFormat="1" ht="15.95" customHeight="1" thickBot="1" x14ac:dyDescent="0.25">
      <c r="A41" s="94">
        <v>0</v>
      </c>
      <c r="B41" s="37">
        <v>1269000420</v>
      </c>
      <c r="C41" s="37" t="s">
        <v>21</v>
      </c>
      <c r="D41" s="25">
        <f>-150000-255000</f>
        <v>-405000</v>
      </c>
      <c r="E41" s="25">
        <v>-110000</v>
      </c>
      <c r="F41" s="24">
        <f>+E41-D41</f>
        <v>295000</v>
      </c>
      <c r="G41" s="20"/>
    </row>
    <row r="42" spans="1:7" s="93" customFormat="1" ht="15.95" customHeight="1" thickBot="1" x14ac:dyDescent="0.3">
      <c r="A42" s="95">
        <v>2</v>
      </c>
      <c r="B42" s="38">
        <v>0</v>
      </c>
      <c r="C42" s="38" t="s">
        <v>22</v>
      </c>
      <c r="D42" s="58">
        <f>+D41</f>
        <v>-405000</v>
      </c>
      <c r="E42" s="58">
        <f t="shared" ref="E42:F42" si="9">+E41</f>
        <v>-110000</v>
      </c>
      <c r="F42" s="58">
        <f t="shared" si="9"/>
        <v>295000</v>
      </c>
      <c r="G42" s="21"/>
    </row>
    <row r="43" spans="1:7" s="93" customFormat="1" ht="15.95" customHeight="1" x14ac:dyDescent="0.2">
      <c r="A43" s="98"/>
      <c r="B43" s="36"/>
      <c r="C43" s="36"/>
      <c r="D43" s="54"/>
      <c r="E43" s="54"/>
      <c r="F43" s="54"/>
      <c r="G43" s="20"/>
    </row>
    <row r="44" spans="1:7" s="93" customFormat="1" ht="15.95" customHeight="1" thickBot="1" x14ac:dyDescent="0.25">
      <c r="A44" s="94">
        <v>0</v>
      </c>
      <c r="B44" s="37">
        <v>1281000420</v>
      </c>
      <c r="C44" s="37" t="s">
        <v>262</v>
      </c>
      <c r="D44" s="25">
        <f>-1500-2500+1000</f>
        <v>-3000</v>
      </c>
      <c r="E44" s="25">
        <f>-[2]סיכומים!$D$45</f>
        <v>-1000</v>
      </c>
      <c r="F44" s="24">
        <f>+E44-D44</f>
        <v>2000</v>
      </c>
      <c r="G44" s="20"/>
    </row>
    <row r="45" spans="1:7" s="93" customFormat="1" ht="15.95" customHeight="1" thickBot="1" x14ac:dyDescent="0.3">
      <c r="A45" s="95">
        <v>1</v>
      </c>
      <c r="B45" s="38">
        <v>228</v>
      </c>
      <c r="C45" s="38" t="s">
        <v>23</v>
      </c>
      <c r="D45" s="29">
        <f>+D44</f>
        <v>-3000</v>
      </c>
      <c r="E45" s="29">
        <f t="shared" ref="E45:F46" si="10">+E44</f>
        <v>-1000</v>
      </c>
      <c r="F45" s="29">
        <f t="shared" si="10"/>
        <v>2000</v>
      </c>
      <c r="G45" s="21"/>
    </row>
    <row r="46" spans="1:7" s="93" customFormat="1" ht="15.95" customHeight="1" thickBot="1" x14ac:dyDescent="0.3">
      <c r="A46" s="95">
        <v>2</v>
      </c>
      <c r="B46" s="38">
        <v>0</v>
      </c>
      <c r="C46" s="38" t="s">
        <v>24</v>
      </c>
      <c r="D46" s="58">
        <f>+D45</f>
        <v>-3000</v>
      </c>
      <c r="E46" s="58">
        <f t="shared" si="10"/>
        <v>-1000</v>
      </c>
      <c r="F46" s="58">
        <f t="shared" si="10"/>
        <v>2000</v>
      </c>
      <c r="G46" s="21"/>
    </row>
    <row r="47" spans="1:7" s="93" customFormat="1" ht="15.95" customHeight="1" thickBot="1" x14ac:dyDescent="0.3">
      <c r="A47" s="95">
        <v>3</v>
      </c>
      <c r="B47" s="38">
        <v>0</v>
      </c>
      <c r="C47" s="38" t="s">
        <v>25</v>
      </c>
      <c r="D47" s="29">
        <f>+D23+D30+D36+D39+D42+D46</f>
        <v>-1281000</v>
      </c>
      <c r="E47" s="29">
        <f t="shared" ref="E47:F47" si="11">+E23+E30+E36+E39+E42+E46</f>
        <v>-1509000</v>
      </c>
      <c r="F47" s="55">
        <f t="shared" si="11"/>
        <v>-228000</v>
      </c>
      <c r="G47" s="21"/>
    </row>
    <row r="48" spans="1:7" s="93" customFormat="1" ht="15.95" customHeight="1" x14ac:dyDescent="0.2">
      <c r="A48" s="98"/>
      <c r="B48" s="36">
        <v>0</v>
      </c>
      <c r="C48" s="36"/>
      <c r="D48" s="54"/>
      <c r="E48" s="54"/>
      <c r="F48" s="54"/>
      <c r="G48" s="20"/>
    </row>
    <row r="49" spans="1:11" s="93" customFormat="1" ht="15.95" customHeight="1" x14ac:dyDescent="0.2">
      <c r="A49" s="92">
        <v>0</v>
      </c>
      <c r="B49" s="8">
        <v>1312200410</v>
      </c>
      <c r="C49" s="8" t="s">
        <v>26</v>
      </c>
      <c r="D49" s="24">
        <v>0</v>
      </c>
      <c r="E49" s="24"/>
      <c r="F49" s="24">
        <f>+E49-D49</f>
        <v>0</v>
      </c>
      <c r="G49" s="20"/>
    </row>
    <row r="50" spans="1:11" s="93" customFormat="1" ht="15.95" customHeight="1" x14ac:dyDescent="0.2">
      <c r="A50" s="92">
        <v>0</v>
      </c>
      <c r="B50" s="8">
        <v>1312200920</v>
      </c>
      <c r="C50" s="8" t="s">
        <v>27</v>
      </c>
      <c r="D50" s="24">
        <v>-536000</v>
      </c>
      <c r="E50" s="24">
        <f>-(308000+394000+14000+308000*0.9*28/33)-3800</f>
        <v>-955000</v>
      </c>
      <c r="F50" s="24">
        <f>+E50-D50</f>
        <v>-419000</v>
      </c>
      <c r="G50" s="20"/>
    </row>
    <row r="51" spans="1:11" s="93" customFormat="1" ht="15.95" customHeight="1" x14ac:dyDescent="0.2">
      <c r="A51" s="92">
        <v>0</v>
      </c>
      <c r="B51" s="8">
        <v>1312400420</v>
      </c>
      <c r="C51" s="8" t="s">
        <v>234</v>
      </c>
      <c r="D51" s="24"/>
      <c r="E51" s="24"/>
      <c r="F51" s="24">
        <f>+E51-D51</f>
        <v>0</v>
      </c>
      <c r="G51" s="20"/>
    </row>
    <row r="52" spans="1:11" s="93" customFormat="1" ht="15.95" customHeight="1" x14ac:dyDescent="0.2">
      <c r="A52" s="92">
        <v>0</v>
      </c>
      <c r="B52" s="8">
        <v>1313200920</v>
      </c>
      <c r="C52" s="8" t="s">
        <v>28</v>
      </c>
      <c r="D52" s="24">
        <f>-380000-43000</f>
        <v>-423000</v>
      </c>
      <c r="E52" s="24">
        <v>-423000</v>
      </c>
      <c r="F52" s="24">
        <f>+E52-D52</f>
        <v>0</v>
      </c>
      <c r="G52" s="20"/>
      <c r="H52" s="9"/>
      <c r="I52" s="9"/>
      <c r="K52" s="99"/>
    </row>
    <row r="53" spans="1:11" s="93" customFormat="1" ht="15.95" customHeight="1" x14ac:dyDescent="0.2">
      <c r="A53" s="92"/>
      <c r="B53" s="8">
        <v>1313300420</v>
      </c>
      <c r="C53" s="8" t="s">
        <v>199</v>
      </c>
      <c r="D53" s="24">
        <v>0</v>
      </c>
      <c r="E53" s="24">
        <v>0</v>
      </c>
      <c r="F53" s="24">
        <f>+E53-D53</f>
        <v>0</v>
      </c>
      <c r="G53" s="20"/>
      <c r="H53" s="9"/>
      <c r="I53" s="9"/>
    </row>
    <row r="54" spans="1:11" s="93" customFormat="1" ht="15.95" customHeight="1" x14ac:dyDescent="0.2">
      <c r="A54" s="92">
        <v>0</v>
      </c>
      <c r="B54" s="8">
        <v>1317100920</v>
      </c>
      <c r="C54" s="8" t="s">
        <v>29</v>
      </c>
      <c r="D54" s="24">
        <v>-20000</v>
      </c>
      <c r="E54" s="24">
        <v>-20000</v>
      </c>
      <c r="F54" s="24">
        <f>+E54-D54</f>
        <v>0</v>
      </c>
      <c r="G54" s="20"/>
      <c r="H54" s="9"/>
      <c r="I54" s="9"/>
    </row>
    <row r="55" spans="1:11" s="93" customFormat="1" ht="15.95" customHeight="1" x14ac:dyDescent="0.2">
      <c r="A55" s="92">
        <v>0</v>
      </c>
      <c r="B55" s="8">
        <v>1317300920</v>
      </c>
      <c r="C55" s="8" t="s">
        <v>187</v>
      </c>
      <c r="D55" s="24">
        <v>-90000</v>
      </c>
      <c r="E55" s="24">
        <v>-130000</v>
      </c>
      <c r="F55" s="24">
        <f>+E55-D55</f>
        <v>-40000</v>
      </c>
      <c r="G55" s="20"/>
      <c r="H55" s="9"/>
      <c r="I55" s="9"/>
    </row>
    <row r="56" spans="1:11" s="93" customFormat="1" ht="15.95" customHeight="1" x14ac:dyDescent="0.2">
      <c r="A56" s="92">
        <v>0</v>
      </c>
      <c r="B56" s="8"/>
      <c r="C56" s="8" t="s">
        <v>199</v>
      </c>
      <c r="D56" s="24">
        <f>-60000*0.4</f>
        <v>-24000</v>
      </c>
      <c r="E56" s="24"/>
      <c r="F56" s="24">
        <f>+E56-D56</f>
        <v>24000</v>
      </c>
      <c r="G56" s="20"/>
      <c r="H56" s="9"/>
      <c r="I56" s="9"/>
    </row>
    <row r="57" spans="1:11" s="93" customFormat="1" ht="15.95" customHeight="1" x14ac:dyDescent="0.2">
      <c r="A57" s="94">
        <v>0</v>
      </c>
      <c r="B57" s="37">
        <v>1317800920</v>
      </c>
      <c r="C57" s="37" t="s">
        <v>31</v>
      </c>
      <c r="D57" s="25">
        <v>-100000</v>
      </c>
      <c r="E57" s="25">
        <v>-100000</v>
      </c>
      <c r="F57" s="24">
        <f>+E57-D57</f>
        <v>0</v>
      </c>
      <c r="G57" s="20"/>
      <c r="H57" s="9"/>
      <c r="I57" s="9"/>
    </row>
    <row r="58" spans="1:11" s="93" customFormat="1" ht="15.95" customHeight="1" thickBot="1" x14ac:dyDescent="0.25">
      <c r="A58" s="94"/>
      <c r="B58" s="37">
        <v>1319300920</v>
      </c>
      <c r="C58" s="37" t="s">
        <v>225</v>
      </c>
      <c r="D58" s="25">
        <v>-20000</v>
      </c>
      <c r="E58" s="25">
        <v>-20000</v>
      </c>
      <c r="F58" s="24">
        <f>+E58-D58</f>
        <v>0</v>
      </c>
      <c r="G58" s="20"/>
      <c r="H58" s="9"/>
      <c r="I58" s="9"/>
    </row>
    <row r="59" spans="1:11" s="93" customFormat="1" ht="15.95" customHeight="1" thickBot="1" x14ac:dyDescent="0.3">
      <c r="A59" s="95">
        <v>1</v>
      </c>
      <c r="B59" s="38">
        <v>231</v>
      </c>
      <c r="C59" s="38" t="s">
        <v>32</v>
      </c>
      <c r="D59" s="29">
        <f>SUM(D49:D58)</f>
        <v>-1213000</v>
      </c>
      <c r="E59" s="29">
        <f t="shared" ref="E59:F59" si="12">SUM(E49:E58)</f>
        <v>-1648000</v>
      </c>
      <c r="F59" s="55">
        <f t="shared" si="12"/>
        <v>-435000</v>
      </c>
      <c r="G59" s="21"/>
      <c r="H59" s="9"/>
      <c r="I59" s="9"/>
    </row>
    <row r="60" spans="1:11" s="93" customFormat="1" ht="15.95" customHeight="1" thickBot="1" x14ac:dyDescent="0.3">
      <c r="A60" s="95">
        <v>2</v>
      </c>
      <c r="B60" s="38">
        <v>0</v>
      </c>
      <c r="C60" s="38" t="s">
        <v>33</v>
      </c>
      <c r="D60" s="59">
        <f>+D59</f>
        <v>-1213000</v>
      </c>
      <c r="E60" s="59">
        <f t="shared" ref="E60:F60" si="13">+E59</f>
        <v>-1648000</v>
      </c>
      <c r="F60" s="59">
        <f t="shared" si="13"/>
        <v>-435000</v>
      </c>
      <c r="G60" s="21"/>
      <c r="H60" s="9"/>
      <c r="I60" s="9"/>
    </row>
    <row r="61" spans="1:11" s="93" customFormat="1" ht="15.95" customHeight="1" x14ac:dyDescent="0.2">
      <c r="A61" s="98"/>
      <c r="B61" s="36">
        <v>0</v>
      </c>
      <c r="C61" s="36"/>
      <c r="D61" s="54"/>
      <c r="E61" s="54"/>
      <c r="F61" s="24"/>
      <c r="G61" s="20"/>
      <c r="H61" s="9"/>
      <c r="I61" s="9"/>
    </row>
    <row r="62" spans="1:11" s="93" customFormat="1" ht="15.95" customHeight="1" x14ac:dyDescent="0.2">
      <c r="A62" s="92">
        <v>0</v>
      </c>
      <c r="B62" s="8">
        <v>1323000420</v>
      </c>
      <c r="C62" s="8" t="s">
        <v>34</v>
      </c>
      <c r="D62" s="24">
        <v>-2000</v>
      </c>
      <c r="E62" s="24">
        <v>-2000</v>
      </c>
      <c r="F62" s="24">
        <f>+E62-D62</f>
        <v>0</v>
      </c>
      <c r="G62" s="20"/>
      <c r="H62" s="16"/>
      <c r="I62" s="16"/>
    </row>
    <row r="63" spans="1:11" s="93" customFormat="1" ht="15.95" customHeight="1" x14ac:dyDescent="0.25">
      <c r="A63" s="92">
        <v>0</v>
      </c>
      <c r="B63" s="8">
        <v>1324300420</v>
      </c>
      <c r="C63" s="8" t="s">
        <v>35</v>
      </c>
      <c r="D63" s="24">
        <f>-430000+85000</f>
        <v>-345000</v>
      </c>
      <c r="E63" s="24">
        <v>0</v>
      </c>
      <c r="F63" s="24">
        <f>+E63-D63</f>
        <v>345000</v>
      </c>
      <c r="G63" s="20"/>
      <c r="H63" s="10"/>
      <c r="I63" s="10"/>
    </row>
    <row r="64" spans="1:11" s="93" customFormat="1" ht="36" customHeight="1" x14ac:dyDescent="0.25">
      <c r="A64" s="92">
        <v>0</v>
      </c>
      <c r="B64" s="8">
        <v>1326100420</v>
      </c>
      <c r="C64" s="8" t="s">
        <v>36</v>
      </c>
      <c r="D64" s="24">
        <f>-3630000+430000</f>
        <v>-3200000</v>
      </c>
      <c r="E64" s="24">
        <f>-2580000-200000</f>
        <v>-2780000</v>
      </c>
      <c r="F64" s="24">
        <f>+E64-D64</f>
        <v>420000</v>
      </c>
      <c r="G64" s="20"/>
      <c r="H64" s="10"/>
      <c r="I64" s="10"/>
    </row>
    <row r="65" spans="1:11" s="93" customFormat="1" ht="15.95" customHeight="1" thickBot="1" x14ac:dyDescent="0.25">
      <c r="A65" s="92">
        <v>0</v>
      </c>
      <c r="B65" s="8">
        <v>1326400420</v>
      </c>
      <c r="C65" s="8" t="s">
        <v>37</v>
      </c>
      <c r="D65" s="24">
        <f>-1348000+250000</f>
        <v>-1098000</v>
      </c>
      <c r="E65" s="24">
        <f>-910000</f>
        <v>-910000</v>
      </c>
      <c r="F65" s="24">
        <f>+E65-D65</f>
        <v>188000</v>
      </c>
      <c r="G65" s="20"/>
      <c r="H65" s="9"/>
      <c r="I65" s="9"/>
    </row>
    <row r="66" spans="1:11" s="93" customFormat="1" ht="15.95" customHeight="1" thickBot="1" x14ac:dyDescent="0.3">
      <c r="A66" s="95">
        <v>1</v>
      </c>
      <c r="B66" s="38">
        <v>232</v>
      </c>
      <c r="C66" s="38" t="s">
        <v>39</v>
      </c>
      <c r="D66" s="29">
        <f>SUM(D62:D65)</f>
        <v>-4645000</v>
      </c>
      <c r="E66" s="29">
        <f t="shared" ref="E66:F66" si="14">SUM(E62:E65)</f>
        <v>-3692000</v>
      </c>
      <c r="F66" s="55">
        <f t="shared" si="14"/>
        <v>953000</v>
      </c>
      <c r="G66" s="21"/>
      <c r="H66" s="9"/>
      <c r="I66" s="9"/>
    </row>
    <row r="67" spans="1:11" s="93" customFormat="1" ht="15.95" customHeight="1" thickBot="1" x14ac:dyDescent="0.3">
      <c r="A67" s="95">
        <v>2</v>
      </c>
      <c r="B67" s="38">
        <v>0</v>
      </c>
      <c r="C67" s="38" t="s">
        <v>40</v>
      </c>
      <c r="D67" s="58">
        <f>+D66</f>
        <v>-4645000</v>
      </c>
      <c r="E67" s="58">
        <f t="shared" ref="E67:F67" si="15">+E66</f>
        <v>-3692000</v>
      </c>
      <c r="F67" s="58">
        <f t="shared" si="15"/>
        <v>953000</v>
      </c>
      <c r="G67" s="21"/>
      <c r="H67" s="9"/>
      <c r="I67" s="9"/>
    </row>
    <row r="68" spans="1:11" s="93" customFormat="1" ht="15.95" customHeight="1" x14ac:dyDescent="0.2">
      <c r="A68" s="98"/>
      <c r="B68" s="36">
        <v>0</v>
      </c>
      <c r="C68" s="36"/>
      <c r="D68" s="54"/>
      <c r="E68" s="54"/>
      <c r="F68" s="54"/>
      <c r="G68" s="20"/>
      <c r="H68" s="9"/>
      <c r="I68" s="9"/>
      <c r="K68" s="100"/>
    </row>
    <row r="69" spans="1:11" s="93" customFormat="1" ht="15.95" customHeight="1" x14ac:dyDescent="0.2">
      <c r="A69" s="92">
        <v>0</v>
      </c>
      <c r="B69" s="8">
        <v>1340000930</v>
      </c>
      <c r="C69" s="8" t="s">
        <v>157</v>
      </c>
      <c r="D69" s="24">
        <v>-620000</v>
      </c>
      <c r="E69" s="24">
        <v>-500000</v>
      </c>
      <c r="F69" s="24">
        <f>+E69-D69</f>
        <v>120000</v>
      </c>
      <c r="G69" s="20"/>
      <c r="H69" s="16"/>
      <c r="I69" s="16"/>
    </row>
    <row r="70" spans="1:11" s="93" customFormat="1" ht="15.95" customHeight="1" thickBot="1" x14ac:dyDescent="0.25">
      <c r="A70" s="94">
        <v>0</v>
      </c>
      <c r="B70" s="37">
        <v>1344400420</v>
      </c>
      <c r="C70" s="37" t="s">
        <v>41</v>
      </c>
      <c r="D70" s="25">
        <v>-300000</v>
      </c>
      <c r="E70" s="25">
        <v>-300000</v>
      </c>
      <c r="F70" s="24">
        <f>+E70-D70</f>
        <v>0</v>
      </c>
      <c r="G70" s="20"/>
      <c r="H70" s="9"/>
      <c r="I70" s="9"/>
    </row>
    <row r="71" spans="1:11" s="93" customFormat="1" ht="15.95" customHeight="1" thickBot="1" x14ac:dyDescent="0.3">
      <c r="A71" s="95">
        <v>1</v>
      </c>
      <c r="B71" s="38">
        <v>234</v>
      </c>
      <c r="C71" s="38" t="s">
        <v>42</v>
      </c>
      <c r="D71" s="29">
        <f>SUM(D69:D70)</f>
        <v>-920000</v>
      </c>
      <c r="E71" s="29">
        <f t="shared" ref="E71:F71" si="16">SUM(E69:E70)</f>
        <v>-800000</v>
      </c>
      <c r="F71" s="55">
        <f t="shared" si="16"/>
        <v>120000</v>
      </c>
      <c r="G71" s="21"/>
      <c r="H71" s="9"/>
      <c r="I71" s="9"/>
    </row>
    <row r="72" spans="1:11" s="93" customFormat="1" ht="15.95" customHeight="1" thickBot="1" x14ac:dyDescent="0.3">
      <c r="A72" s="95">
        <v>2</v>
      </c>
      <c r="B72" s="38">
        <v>0</v>
      </c>
      <c r="C72" s="38" t="s">
        <v>43</v>
      </c>
      <c r="D72" s="29">
        <f>+D71</f>
        <v>-920000</v>
      </c>
      <c r="E72" s="29">
        <f t="shared" ref="E72:F72" si="17">+E71</f>
        <v>-800000</v>
      </c>
      <c r="F72" s="55">
        <f t="shared" si="17"/>
        <v>120000</v>
      </c>
      <c r="G72" s="21"/>
      <c r="H72" s="9"/>
      <c r="I72" s="9"/>
    </row>
    <row r="73" spans="1:11" s="93" customFormat="1" ht="15.95" customHeight="1" thickBot="1" x14ac:dyDescent="0.3">
      <c r="A73" s="95">
        <v>3</v>
      </c>
      <c r="B73" s="38">
        <v>0</v>
      </c>
      <c r="C73" s="38" t="s">
        <v>44</v>
      </c>
      <c r="D73" s="29">
        <f>+D60+D67+D72</f>
        <v>-6778000</v>
      </c>
      <c r="E73" s="29">
        <f t="shared" ref="E73:F73" si="18">+E60+E67+E72</f>
        <v>-6140000</v>
      </c>
      <c r="F73" s="55">
        <f t="shared" si="18"/>
        <v>638000</v>
      </c>
      <c r="G73" s="21"/>
      <c r="H73" s="9"/>
      <c r="I73" s="9"/>
    </row>
    <row r="74" spans="1:11" s="93" customFormat="1" ht="15.95" customHeight="1" x14ac:dyDescent="0.2">
      <c r="A74" s="98"/>
      <c r="B74" s="36">
        <v>0</v>
      </c>
      <c r="C74" s="36"/>
      <c r="D74" s="54"/>
      <c r="E74" s="54"/>
      <c r="F74" s="54"/>
      <c r="G74" s="20"/>
      <c r="H74" s="9"/>
      <c r="I74" s="9"/>
    </row>
    <row r="75" spans="1:11" s="93" customFormat="1" ht="15.95" customHeight="1" x14ac:dyDescent="0.25">
      <c r="A75" s="94">
        <v>0</v>
      </c>
      <c r="B75" s="8">
        <v>1443100420</v>
      </c>
      <c r="C75" s="8" t="s">
        <v>45</v>
      </c>
      <c r="D75" s="25">
        <v>-700000</v>
      </c>
      <c r="E75" s="25">
        <f>-650000-130000+80000</f>
        <v>-700000</v>
      </c>
      <c r="F75" s="24">
        <f>+E75-D75</f>
        <v>0</v>
      </c>
      <c r="G75" s="20"/>
      <c r="H75" s="10"/>
      <c r="I75" s="10"/>
    </row>
    <row r="76" spans="1:11" s="93" customFormat="1" ht="15.95" customHeight="1" x14ac:dyDescent="0.25">
      <c r="A76" s="97"/>
      <c r="B76" s="8">
        <v>1440000420</v>
      </c>
      <c r="C76" s="39" t="s">
        <v>280</v>
      </c>
      <c r="D76" s="25">
        <v>-120000</v>
      </c>
      <c r="E76" s="25"/>
      <c r="F76" s="24">
        <f>+E76-D76</f>
        <v>120000</v>
      </c>
      <c r="G76" s="20"/>
      <c r="H76" s="10"/>
      <c r="I76" s="10"/>
    </row>
    <row r="77" spans="1:11" s="93" customFormat="1" ht="15.95" customHeight="1" x14ac:dyDescent="0.25">
      <c r="A77" s="97"/>
      <c r="B77" s="8">
        <v>1440000421</v>
      </c>
      <c r="C77" s="8" t="s">
        <v>281</v>
      </c>
      <c r="D77" s="25">
        <v>-10000</v>
      </c>
      <c r="E77" s="25"/>
      <c r="F77" s="24">
        <f>+E77-D77</f>
        <v>10000</v>
      </c>
      <c r="G77" s="20"/>
      <c r="H77" s="10"/>
      <c r="I77" s="10"/>
    </row>
    <row r="78" spans="1:11" s="93" customFormat="1" ht="15.95" customHeight="1" x14ac:dyDescent="0.25">
      <c r="A78" s="97"/>
      <c r="B78" s="8">
        <v>1440000422</v>
      </c>
      <c r="C78" s="8" t="s">
        <v>282</v>
      </c>
      <c r="D78" s="25">
        <v>-120000</v>
      </c>
      <c r="E78" s="25"/>
      <c r="F78" s="24">
        <f>+E78-D78</f>
        <v>120000</v>
      </c>
      <c r="G78" s="20"/>
      <c r="H78" s="10"/>
      <c r="I78" s="10"/>
    </row>
    <row r="79" spans="1:11" s="93" customFormat="1" ht="15.95" customHeight="1" x14ac:dyDescent="0.25">
      <c r="A79" s="97"/>
      <c r="B79" s="8">
        <v>1443200420</v>
      </c>
      <c r="C79" s="8" t="s">
        <v>221</v>
      </c>
      <c r="D79" s="24"/>
      <c r="E79" s="24"/>
      <c r="F79" s="24">
        <f>+E79-D79</f>
        <v>0</v>
      </c>
      <c r="G79" s="20"/>
      <c r="H79" s="10"/>
      <c r="I79" s="10"/>
    </row>
    <row r="80" spans="1:11" s="93" customFormat="1" ht="15.95" customHeight="1" thickBot="1" x14ac:dyDescent="0.3">
      <c r="A80" s="97"/>
      <c r="B80" s="39">
        <v>1440000420</v>
      </c>
      <c r="C80" s="39" t="s">
        <v>205</v>
      </c>
      <c r="D80" s="60"/>
      <c r="E80" s="60">
        <f>-300000-80000</f>
        <v>-380000</v>
      </c>
      <c r="F80" s="30">
        <f>+E80-D80</f>
        <v>-380000</v>
      </c>
      <c r="G80" s="20"/>
      <c r="H80" s="10"/>
      <c r="I80" s="10"/>
    </row>
    <row r="81" spans="1:9" s="93" customFormat="1" ht="15.95" customHeight="1" thickBot="1" x14ac:dyDescent="0.3">
      <c r="A81" s="95">
        <v>1</v>
      </c>
      <c r="B81" s="38">
        <v>244</v>
      </c>
      <c r="C81" s="38" t="s">
        <v>46</v>
      </c>
      <c r="D81" s="29">
        <f>SUM(D75:D80)</f>
        <v>-950000</v>
      </c>
      <c r="E81" s="29">
        <f t="shared" ref="E81:F81" si="19">SUM(E75:E80)</f>
        <v>-1080000</v>
      </c>
      <c r="F81" s="55">
        <f t="shared" si="19"/>
        <v>-130000</v>
      </c>
      <c r="G81" s="21"/>
      <c r="H81" s="9"/>
      <c r="I81" s="9"/>
    </row>
    <row r="82" spans="1:9" s="93" customFormat="1" ht="15.95" customHeight="1" thickBot="1" x14ac:dyDescent="0.3">
      <c r="A82" s="95">
        <v>2</v>
      </c>
      <c r="B82" s="38">
        <v>0</v>
      </c>
      <c r="C82" s="38" t="s">
        <v>47</v>
      </c>
      <c r="D82" s="29">
        <f>+D81</f>
        <v>-950000</v>
      </c>
      <c r="E82" s="29">
        <f t="shared" ref="E82:F82" si="20">+E81</f>
        <v>-1080000</v>
      </c>
      <c r="F82" s="55">
        <f t="shared" si="20"/>
        <v>-130000</v>
      </c>
      <c r="G82" s="21"/>
      <c r="H82" s="9"/>
      <c r="I82" s="9"/>
    </row>
    <row r="83" spans="1:9" s="93" customFormat="1" ht="15.95" customHeight="1" thickBot="1" x14ac:dyDescent="0.3">
      <c r="A83" s="95">
        <v>3</v>
      </c>
      <c r="B83" s="38">
        <v>0</v>
      </c>
      <c r="C83" s="38" t="s">
        <v>48</v>
      </c>
      <c r="D83" s="58">
        <f>+D81</f>
        <v>-950000</v>
      </c>
      <c r="E83" s="58">
        <f t="shared" ref="E83:F83" si="21">+E81</f>
        <v>-1080000</v>
      </c>
      <c r="F83" s="58">
        <f t="shared" si="21"/>
        <v>-130000</v>
      </c>
      <c r="G83" s="21"/>
      <c r="H83" s="9"/>
      <c r="I83" s="9"/>
    </row>
    <row r="84" spans="1:9" s="93" customFormat="1" ht="15.95" customHeight="1" x14ac:dyDescent="0.2">
      <c r="A84" s="98"/>
      <c r="B84" s="36">
        <v>1513000600</v>
      </c>
      <c r="C84" s="36" t="s">
        <v>255</v>
      </c>
      <c r="D84" s="54"/>
      <c r="E84" s="54"/>
      <c r="F84" s="82"/>
      <c r="G84" s="20"/>
      <c r="H84" s="9"/>
      <c r="I84" s="9"/>
    </row>
    <row r="85" spans="1:9" s="93" customFormat="1" ht="15.95" customHeight="1" thickBot="1" x14ac:dyDescent="0.3">
      <c r="A85" s="94">
        <v>0</v>
      </c>
      <c r="B85" s="37">
        <v>1511000661</v>
      </c>
      <c r="C85" s="37" t="s">
        <v>49</v>
      </c>
      <c r="D85" s="25">
        <f>-650000+480000</f>
        <v>-170000</v>
      </c>
      <c r="E85" s="25">
        <v>-170000</v>
      </c>
      <c r="F85" s="30">
        <f>+E85-D85</f>
        <v>0</v>
      </c>
      <c r="G85" s="20"/>
      <c r="H85" s="10"/>
      <c r="I85" s="10"/>
    </row>
    <row r="86" spans="1:9" s="93" customFormat="1" ht="15.95" customHeight="1" thickBot="1" x14ac:dyDescent="0.3">
      <c r="A86" s="95">
        <v>1</v>
      </c>
      <c r="B86" s="38">
        <v>251</v>
      </c>
      <c r="C86" s="38" t="s">
        <v>194</v>
      </c>
      <c r="D86" s="29">
        <f>SUM(D85)</f>
        <v>-170000</v>
      </c>
      <c r="E86" s="29">
        <f>SUM(E85)</f>
        <v>-170000</v>
      </c>
      <c r="F86" s="55">
        <f>+F85</f>
        <v>0</v>
      </c>
      <c r="G86" s="21"/>
      <c r="H86" s="10"/>
      <c r="I86" s="10"/>
    </row>
    <row r="87" spans="1:9" s="93" customFormat="1" ht="15.95" customHeight="1" thickBot="1" x14ac:dyDescent="0.3">
      <c r="A87" s="95">
        <v>2</v>
      </c>
      <c r="B87" s="38">
        <v>0</v>
      </c>
      <c r="C87" s="38" t="s">
        <v>50</v>
      </c>
      <c r="D87" s="29">
        <f t="shared" ref="D87:E87" si="22">+D86</f>
        <v>-170000</v>
      </c>
      <c r="E87" s="29">
        <f t="shared" si="22"/>
        <v>-170000</v>
      </c>
      <c r="F87" s="59">
        <f>+F86</f>
        <v>0</v>
      </c>
      <c r="G87" s="21"/>
      <c r="H87" s="10"/>
      <c r="I87" s="10"/>
    </row>
    <row r="88" spans="1:9" s="93" customFormat="1" ht="15.95" customHeight="1" x14ac:dyDescent="0.2">
      <c r="A88" s="98"/>
      <c r="B88" s="36">
        <v>0</v>
      </c>
      <c r="C88" s="36"/>
      <c r="D88" s="54"/>
      <c r="E88" s="54"/>
      <c r="F88" s="82"/>
      <c r="G88" s="20"/>
      <c r="H88" s="9"/>
      <c r="I88" s="9"/>
    </row>
    <row r="89" spans="1:9" s="93" customFormat="1" ht="15.95" customHeight="1" x14ac:dyDescent="0.2">
      <c r="A89" s="92">
        <v>0</v>
      </c>
      <c r="B89" s="8">
        <v>1591300661</v>
      </c>
      <c r="C89" s="8" t="s">
        <v>183</v>
      </c>
      <c r="D89" s="24">
        <v>-3000</v>
      </c>
      <c r="E89" s="24">
        <v>-3000</v>
      </c>
      <c r="F89" s="30">
        <f>+E89-D89</f>
        <v>0</v>
      </c>
      <c r="G89" s="20"/>
      <c r="H89" s="9"/>
      <c r="I89" s="9"/>
    </row>
    <row r="90" spans="1:9" s="93" customFormat="1" ht="15.95" customHeight="1" x14ac:dyDescent="0.25">
      <c r="A90" s="92"/>
      <c r="B90" s="8">
        <v>0</v>
      </c>
      <c r="C90" s="8" t="s">
        <v>182</v>
      </c>
      <c r="D90" s="24"/>
      <c r="E90" s="24">
        <v>0</v>
      </c>
      <c r="F90" s="30">
        <f>+E90-D90</f>
        <v>0</v>
      </c>
      <c r="G90" s="20"/>
      <c r="H90" s="10"/>
      <c r="I90" s="10"/>
    </row>
    <row r="91" spans="1:9" s="93" customFormat="1" ht="15.95" customHeight="1" x14ac:dyDescent="0.25">
      <c r="A91" s="92">
        <v>0</v>
      </c>
      <c r="B91" s="8">
        <v>1591300990</v>
      </c>
      <c r="C91" s="8" t="s">
        <v>207</v>
      </c>
      <c r="D91" s="24">
        <v>0</v>
      </c>
      <c r="E91" s="24"/>
      <c r="F91" s="30">
        <f>+E91-D91</f>
        <v>0</v>
      </c>
      <c r="G91" s="20"/>
      <c r="H91" s="10"/>
      <c r="I91" s="10"/>
    </row>
    <row r="92" spans="1:9" s="93" customFormat="1" ht="15.95" customHeight="1" thickBot="1" x14ac:dyDescent="0.25">
      <c r="A92" s="94">
        <v>0</v>
      </c>
      <c r="B92" s="37">
        <v>1591908590</v>
      </c>
      <c r="C92" s="37" t="s">
        <v>188</v>
      </c>
      <c r="D92" s="25">
        <f>-D199*1.15+D32-100</f>
        <v>-8981000</v>
      </c>
      <c r="E92" s="25">
        <f>-(E199)*1.15-E36+400+200000+466500-92000</f>
        <v>-9081000</v>
      </c>
      <c r="F92" s="24">
        <f>+E92-D92</f>
        <v>-100000</v>
      </c>
      <c r="G92" s="20"/>
      <c r="H92" s="9"/>
      <c r="I92" s="9"/>
    </row>
    <row r="93" spans="1:9" s="93" customFormat="1" ht="15.95" customHeight="1" thickBot="1" x14ac:dyDescent="0.3">
      <c r="A93" s="95">
        <v>1</v>
      </c>
      <c r="B93" s="38">
        <v>259</v>
      </c>
      <c r="C93" s="38" t="s">
        <v>51</v>
      </c>
      <c r="D93" s="29">
        <f>SUM(D89:D92)</f>
        <v>-8984000</v>
      </c>
      <c r="E93" s="29">
        <f t="shared" ref="E93:F93" si="23">SUM(E89:E92)</f>
        <v>-9084000</v>
      </c>
      <c r="F93" s="55">
        <f t="shared" si="23"/>
        <v>-100000</v>
      </c>
      <c r="G93" s="21"/>
      <c r="H93" s="9"/>
      <c r="I93" s="9"/>
    </row>
    <row r="94" spans="1:9" s="93" customFormat="1" ht="15.95" customHeight="1" thickBot="1" x14ac:dyDescent="0.3">
      <c r="A94" s="95">
        <v>2</v>
      </c>
      <c r="B94" s="38">
        <v>0</v>
      </c>
      <c r="C94" s="38" t="s">
        <v>52</v>
      </c>
      <c r="D94" s="29">
        <f>+D93</f>
        <v>-8984000</v>
      </c>
      <c r="E94" s="29">
        <f t="shared" ref="E94:F94" si="24">+E93</f>
        <v>-9084000</v>
      </c>
      <c r="F94" s="58">
        <f t="shared" si="24"/>
        <v>-100000</v>
      </c>
      <c r="G94" s="21"/>
      <c r="H94" s="9"/>
      <c r="I94" s="9"/>
    </row>
    <row r="95" spans="1:9" s="93" customFormat="1" ht="15.95" customHeight="1" thickBot="1" x14ac:dyDescent="0.3">
      <c r="A95" s="95">
        <v>3</v>
      </c>
      <c r="B95" s="38">
        <v>0</v>
      </c>
      <c r="C95" s="38" t="s">
        <v>53</v>
      </c>
      <c r="D95" s="29">
        <f>+D87+D94</f>
        <v>-9154000</v>
      </c>
      <c r="E95" s="29">
        <f t="shared" ref="E95:F95" si="25">+E87+E94</f>
        <v>-9254000</v>
      </c>
      <c r="F95" s="55">
        <f t="shared" si="25"/>
        <v>-100000</v>
      </c>
      <c r="G95" s="21"/>
      <c r="H95" s="9"/>
      <c r="I95" s="9"/>
    </row>
    <row r="96" spans="1:9" s="93" customFormat="1" ht="15.95" customHeight="1" thickBot="1" x14ac:dyDescent="0.3">
      <c r="A96" s="110">
        <v>4</v>
      </c>
      <c r="B96" s="107">
        <v>0</v>
      </c>
      <c r="C96" s="107" t="s">
        <v>54</v>
      </c>
      <c r="D96" s="108">
        <f>+D95+D83+D73+D47+D15</f>
        <v>-35743000</v>
      </c>
      <c r="E96" s="108">
        <f t="shared" ref="E96:F96" si="26">+E95+E83+E73+E47+E15</f>
        <v>-37200000</v>
      </c>
      <c r="F96" s="109">
        <f t="shared" si="26"/>
        <v>-1457000</v>
      </c>
      <c r="G96" s="22"/>
      <c r="H96" s="9"/>
      <c r="I96" s="9"/>
    </row>
    <row r="97" spans="1:11" s="93" customFormat="1" ht="15.95" customHeight="1" x14ac:dyDescent="0.25">
      <c r="A97" s="98"/>
      <c r="B97" s="36">
        <v>0</v>
      </c>
      <c r="C97" s="36" t="s">
        <v>270</v>
      </c>
      <c r="D97" s="54"/>
      <c r="E97" s="54"/>
      <c r="F97" s="54"/>
      <c r="G97" s="20"/>
      <c r="H97" s="10"/>
      <c r="I97" s="10"/>
    </row>
    <row r="98" spans="1:11" s="93" customFormat="1" ht="15.95" customHeight="1" x14ac:dyDescent="0.25">
      <c r="A98" s="92">
        <v>0</v>
      </c>
      <c r="B98" s="8">
        <v>1611000110</v>
      </c>
      <c r="C98" s="8" t="s">
        <v>55</v>
      </c>
      <c r="D98" s="30">
        <v>695000</v>
      </c>
      <c r="E98" s="30">
        <v>630000</v>
      </c>
      <c r="F98" s="24">
        <f>+E98-D98</f>
        <v>-65000</v>
      </c>
      <c r="G98" s="28"/>
      <c r="H98" s="10"/>
      <c r="I98" s="10"/>
    </row>
    <row r="99" spans="1:11" s="93" customFormat="1" ht="15.95" customHeight="1" x14ac:dyDescent="0.25">
      <c r="A99" s="92">
        <v>0</v>
      </c>
      <c r="B99" s="8">
        <v>1612000110</v>
      </c>
      <c r="C99" s="8" t="s">
        <v>56</v>
      </c>
      <c r="D99" s="61">
        <v>92000</v>
      </c>
      <c r="E99" s="61">
        <v>92000</v>
      </c>
      <c r="F99" s="24">
        <f>+E99-D99</f>
        <v>0</v>
      </c>
      <c r="G99" s="28"/>
      <c r="H99" s="10"/>
      <c r="I99" s="10"/>
    </row>
    <row r="100" spans="1:11" s="93" customFormat="1" ht="15.95" customHeight="1" x14ac:dyDescent="0.25">
      <c r="A100" s="92">
        <v>0</v>
      </c>
      <c r="B100" s="8">
        <v>1612000750</v>
      </c>
      <c r="C100" s="8" t="s">
        <v>57</v>
      </c>
      <c r="D100" s="30">
        <v>50000</v>
      </c>
      <c r="E100" s="30">
        <v>50000</v>
      </c>
      <c r="F100" s="24">
        <f>+E100-D100</f>
        <v>0</v>
      </c>
      <c r="G100" s="20"/>
      <c r="H100" s="10"/>
      <c r="I100" s="10"/>
    </row>
    <row r="101" spans="1:11" s="93" customFormat="1" ht="15.95" customHeight="1" x14ac:dyDescent="0.2">
      <c r="A101" s="92">
        <v>0</v>
      </c>
      <c r="B101" s="8">
        <v>1613100110</v>
      </c>
      <c r="C101" s="8" t="s">
        <v>58</v>
      </c>
      <c r="D101" s="30">
        <f>94000+35000</f>
        <v>129000</v>
      </c>
      <c r="E101" s="30">
        <f>89000+40000</f>
        <v>129000</v>
      </c>
      <c r="F101" s="24">
        <f>+E101-D101</f>
        <v>0</v>
      </c>
      <c r="G101" s="28"/>
      <c r="H101" s="9"/>
      <c r="I101" s="9"/>
    </row>
    <row r="102" spans="1:11" s="93" customFormat="1" ht="15.95" customHeight="1" x14ac:dyDescent="0.2">
      <c r="A102" s="92">
        <v>0</v>
      </c>
      <c r="B102" s="8">
        <v>1613100430</v>
      </c>
      <c r="C102" s="8" t="s">
        <v>59</v>
      </c>
      <c r="D102" s="30">
        <v>9000</v>
      </c>
      <c r="E102" s="30">
        <v>10000</v>
      </c>
      <c r="F102" s="24">
        <f>+E102-D102</f>
        <v>1000</v>
      </c>
      <c r="G102" s="20"/>
      <c r="H102" s="9"/>
      <c r="I102" s="9"/>
    </row>
    <row r="103" spans="1:11" s="93" customFormat="1" ht="15.95" customHeight="1" x14ac:dyDescent="0.2">
      <c r="A103" s="92">
        <v>0</v>
      </c>
      <c r="B103" s="8">
        <v>1613100471</v>
      </c>
      <c r="C103" s="8" t="s">
        <v>60</v>
      </c>
      <c r="D103" s="30">
        <v>10000</v>
      </c>
      <c r="E103" s="30">
        <v>0</v>
      </c>
      <c r="F103" s="24">
        <f>+E103-D103</f>
        <v>-10000</v>
      </c>
      <c r="G103" s="20"/>
      <c r="H103" s="9"/>
      <c r="I103" s="9"/>
    </row>
    <row r="104" spans="1:11" s="93" customFormat="1" ht="15.95" customHeight="1" x14ac:dyDescent="0.2">
      <c r="A104" s="92">
        <v>0</v>
      </c>
      <c r="B104" s="8">
        <v>1613100472</v>
      </c>
      <c r="C104" s="8" t="s">
        <v>224</v>
      </c>
      <c r="D104" s="24">
        <v>12000</v>
      </c>
      <c r="E104" s="24">
        <v>12000</v>
      </c>
      <c r="F104" s="24">
        <f>+E104-D104</f>
        <v>0</v>
      </c>
      <c r="G104" s="20"/>
      <c r="H104" s="9"/>
      <c r="I104" s="9"/>
      <c r="J104" s="101"/>
    </row>
    <row r="105" spans="1:11" s="93" customFormat="1" ht="15.95" customHeight="1" x14ac:dyDescent="0.2">
      <c r="A105" s="92">
        <v>0</v>
      </c>
      <c r="B105" s="8">
        <v>1613100510</v>
      </c>
      <c r="C105" s="8" t="s">
        <v>286</v>
      </c>
      <c r="D105" s="24">
        <v>60000</v>
      </c>
      <c r="E105" s="24">
        <v>60000</v>
      </c>
      <c r="F105" s="24">
        <f>+E105-D105</f>
        <v>0</v>
      </c>
      <c r="G105" s="20"/>
      <c r="H105" s="9"/>
      <c r="I105" s="9"/>
      <c r="K105" s="93" t="s">
        <v>130</v>
      </c>
    </row>
    <row r="106" spans="1:11" s="93" customFormat="1" ht="15.95" customHeight="1" x14ac:dyDescent="0.2">
      <c r="A106" s="92">
        <v>0</v>
      </c>
      <c r="B106" s="8">
        <v>1613100521</v>
      </c>
      <c r="C106" s="8" t="s">
        <v>184</v>
      </c>
      <c r="D106" s="67">
        <v>250000</v>
      </c>
      <c r="E106" s="67">
        <f>300000-50000</f>
        <v>250000</v>
      </c>
      <c r="F106" s="24">
        <f>+E106-D106</f>
        <v>0</v>
      </c>
      <c r="G106" s="20"/>
      <c r="H106" s="9"/>
      <c r="I106" s="9"/>
    </row>
    <row r="107" spans="1:11" s="93" customFormat="1" ht="15.95" customHeight="1" x14ac:dyDescent="0.2">
      <c r="A107" s="92">
        <v>0</v>
      </c>
      <c r="B107" s="8">
        <v>1613100522</v>
      </c>
      <c r="C107" s="8" t="s">
        <v>61</v>
      </c>
      <c r="D107" s="30">
        <v>40000</v>
      </c>
      <c r="E107" s="30">
        <v>40000</v>
      </c>
      <c r="F107" s="24">
        <f>+E107-D107</f>
        <v>0</v>
      </c>
      <c r="G107" s="20"/>
      <c r="H107" s="9"/>
      <c r="I107" s="9"/>
    </row>
    <row r="108" spans="1:11" s="93" customFormat="1" ht="15.95" customHeight="1" x14ac:dyDescent="0.2">
      <c r="A108" s="92">
        <v>0</v>
      </c>
      <c r="B108" s="8">
        <v>1613100523</v>
      </c>
      <c r="C108" s="8" t="s">
        <v>62</v>
      </c>
      <c r="D108" s="30">
        <v>8000</v>
      </c>
      <c r="E108" s="30">
        <v>8000</v>
      </c>
      <c r="F108" s="24">
        <f>+E108-D108</f>
        <v>0</v>
      </c>
      <c r="G108" s="20"/>
      <c r="H108" s="9"/>
      <c r="I108" s="9"/>
    </row>
    <row r="109" spans="1:11" s="93" customFormat="1" ht="15.95" customHeight="1" x14ac:dyDescent="0.2">
      <c r="A109" s="92">
        <v>0</v>
      </c>
      <c r="B109" s="8">
        <v>1613100540</v>
      </c>
      <c r="C109" s="8" t="s">
        <v>63</v>
      </c>
      <c r="D109" s="30">
        <v>139000</v>
      </c>
      <c r="E109" s="30">
        <v>139000</v>
      </c>
      <c r="F109" s="24">
        <f>+E109-D109</f>
        <v>0</v>
      </c>
      <c r="G109" s="20"/>
      <c r="H109" s="9"/>
      <c r="I109" s="9"/>
    </row>
    <row r="110" spans="1:11" s="93" customFormat="1" ht="15.95" customHeight="1" x14ac:dyDescent="0.2">
      <c r="A110" s="92">
        <v>0</v>
      </c>
      <c r="B110" s="8">
        <v>1613100542</v>
      </c>
      <c r="C110" s="8" t="s">
        <v>64</v>
      </c>
      <c r="D110" s="30">
        <f>75000</f>
        <v>75000</v>
      </c>
      <c r="E110" s="30">
        <v>75000</v>
      </c>
      <c r="F110" s="24">
        <f>+E110-D110</f>
        <v>0</v>
      </c>
      <c r="G110" s="20"/>
      <c r="H110" s="15"/>
      <c r="I110" s="15"/>
    </row>
    <row r="111" spans="1:11" s="93" customFormat="1" ht="15.95" customHeight="1" x14ac:dyDescent="0.2">
      <c r="A111" s="92">
        <v>0</v>
      </c>
      <c r="B111" s="8">
        <v>1613100560</v>
      </c>
      <c r="C111" s="8" t="s">
        <v>65</v>
      </c>
      <c r="D111" s="24">
        <v>50000</v>
      </c>
      <c r="E111" s="24">
        <f>[2]סיכומים!$D$15</f>
        <v>65000</v>
      </c>
      <c r="F111" s="24">
        <f>+E111-D111</f>
        <v>15000</v>
      </c>
      <c r="G111" s="20"/>
      <c r="H111" s="9"/>
      <c r="I111" s="9"/>
    </row>
    <row r="112" spans="1:11" s="93" customFormat="1" ht="15.95" customHeight="1" x14ac:dyDescent="0.2">
      <c r="A112" s="92">
        <v>0</v>
      </c>
      <c r="B112" s="8">
        <v>1613200560</v>
      </c>
      <c r="C112" s="8" t="s">
        <v>66</v>
      </c>
      <c r="D112" s="24">
        <v>70000</v>
      </c>
      <c r="E112" s="24">
        <v>70000</v>
      </c>
      <c r="F112" s="24">
        <f>+E112-D112</f>
        <v>0</v>
      </c>
      <c r="G112" s="20"/>
      <c r="H112" s="9"/>
      <c r="I112" s="9"/>
    </row>
    <row r="113" spans="1:9" s="93" customFormat="1" ht="15.95" customHeight="1" x14ac:dyDescent="0.2">
      <c r="A113" s="92">
        <v>0</v>
      </c>
      <c r="B113" s="8">
        <v>1614000750</v>
      </c>
      <c r="C113" s="8" t="s">
        <v>249</v>
      </c>
      <c r="D113" s="24">
        <v>47000</v>
      </c>
      <c r="E113" s="24">
        <v>20000</v>
      </c>
      <c r="F113" s="24">
        <f>+E113-D113</f>
        <v>-27000</v>
      </c>
      <c r="G113" s="9"/>
      <c r="H113" s="16"/>
      <c r="I113" s="9"/>
    </row>
    <row r="114" spans="1:9" s="93" customFormat="1" ht="15.95" customHeight="1" x14ac:dyDescent="0.2">
      <c r="A114" s="92">
        <v>0</v>
      </c>
      <c r="B114" s="8">
        <v>1614000780</v>
      </c>
      <c r="C114" s="8" t="s">
        <v>67</v>
      </c>
      <c r="D114" s="24">
        <v>20000</v>
      </c>
      <c r="E114" s="24">
        <v>20000</v>
      </c>
      <c r="F114" s="24">
        <f>+E114-D114</f>
        <v>0</v>
      </c>
      <c r="G114" s="20"/>
      <c r="H114" s="9"/>
      <c r="I114" s="9"/>
    </row>
    <row r="115" spans="1:9" s="93" customFormat="1" ht="15.95" customHeight="1" x14ac:dyDescent="0.2">
      <c r="A115" s="92">
        <v>0</v>
      </c>
      <c r="B115" s="8">
        <v>1614000781</v>
      </c>
      <c r="C115" s="8" t="s">
        <v>285</v>
      </c>
      <c r="D115" s="24">
        <v>26000</v>
      </c>
      <c r="E115" s="24">
        <v>20000</v>
      </c>
      <c r="F115" s="24">
        <f>+E115-D115</f>
        <v>-6000</v>
      </c>
      <c r="G115" s="20"/>
      <c r="H115" s="9"/>
      <c r="I115" s="9"/>
    </row>
    <row r="116" spans="1:9" s="93" customFormat="1" ht="15.95" customHeight="1" x14ac:dyDescent="0.2">
      <c r="A116" s="92">
        <v>0</v>
      </c>
      <c r="B116" s="8">
        <v>1614100750</v>
      </c>
      <c r="C116" s="8" t="s">
        <v>68</v>
      </c>
      <c r="D116" s="24">
        <v>100000</v>
      </c>
      <c r="E116" s="24">
        <v>60000</v>
      </c>
      <c r="F116" s="24">
        <f>+E116-D116</f>
        <v>-40000</v>
      </c>
      <c r="G116" s="20"/>
      <c r="H116" s="9"/>
      <c r="I116" s="9"/>
    </row>
    <row r="117" spans="1:9" s="93" customFormat="1" ht="15.95" customHeight="1" x14ac:dyDescent="0.2">
      <c r="A117" s="94"/>
      <c r="B117" s="37">
        <v>1731400110</v>
      </c>
      <c r="C117" s="37" t="s">
        <v>220</v>
      </c>
      <c r="D117" s="24">
        <v>131000</v>
      </c>
      <c r="E117" s="24">
        <v>25000</v>
      </c>
      <c r="F117" s="24">
        <f>+E117-D117</f>
        <v>-106000</v>
      </c>
      <c r="G117" s="20"/>
      <c r="H117" s="16"/>
      <c r="I117" s="9"/>
    </row>
    <row r="118" spans="1:9" s="93" customFormat="1" ht="15.95" customHeight="1" thickBot="1" x14ac:dyDescent="0.25">
      <c r="A118" s="94">
        <v>0</v>
      </c>
      <c r="B118" s="37">
        <v>1617000750</v>
      </c>
      <c r="C118" s="37" t="s">
        <v>69</v>
      </c>
      <c r="D118" s="25">
        <v>190000</v>
      </c>
      <c r="E118" s="25">
        <v>190000</v>
      </c>
      <c r="F118" s="24">
        <f>+E118-D118</f>
        <v>0</v>
      </c>
      <c r="G118" s="20"/>
      <c r="H118" s="9"/>
      <c r="I118" s="9"/>
    </row>
    <row r="119" spans="1:9" s="93" customFormat="1" ht="15.95" customHeight="1" thickBot="1" x14ac:dyDescent="0.3">
      <c r="A119" s="95">
        <v>1</v>
      </c>
      <c r="B119" s="38">
        <v>261</v>
      </c>
      <c r="C119" s="38" t="s">
        <v>70</v>
      </c>
      <c r="D119" s="29">
        <f t="shared" ref="D119:F119" si="27">SUM(D98:D118)</f>
        <v>2203000</v>
      </c>
      <c r="E119" s="29">
        <f t="shared" si="27"/>
        <v>1965000</v>
      </c>
      <c r="F119" s="55">
        <f t="shared" si="27"/>
        <v>-238000</v>
      </c>
      <c r="G119" s="21"/>
      <c r="H119" s="9"/>
      <c r="I119" s="9"/>
    </row>
    <row r="120" spans="1:9" s="93" customFormat="1" ht="15.95" customHeight="1" thickBot="1" x14ac:dyDescent="0.3">
      <c r="A120" s="95">
        <v>2</v>
      </c>
      <c r="B120" s="38">
        <v>0</v>
      </c>
      <c r="C120" s="38" t="s">
        <v>71</v>
      </c>
      <c r="D120" s="29">
        <f>+D119</f>
        <v>2203000</v>
      </c>
      <c r="E120" s="29">
        <f t="shared" ref="E120:F120" si="28">+E119</f>
        <v>1965000</v>
      </c>
      <c r="F120" s="55">
        <f t="shared" si="28"/>
        <v>-238000</v>
      </c>
      <c r="G120" s="22"/>
      <c r="H120" s="9"/>
      <c r="I120" s="9"/>
    </row>
    <row r="121" spans="1:9" s="93" customFormat="1" ht="15.95" customHeight="1" x14ac:dyDescent="0.2">
      <c r="A121" s="98"/>
      <c r="B121" s="36">
        <v>0</v>
      </c>
      <c r="C121" s="36"/>
      <c r="D121" s="54"/>
      <c r="E121" s="54"/>
      <c r="F121" s="54"/>
      <c r="G121" s="20"/>
      <c r="H121" s="9"/>
      <c r="I121" s="9"/>
    </row>
    <row r="122" spans="1:9" s="93" customFormat="1" ht="15.95" customHeight="1" x14ac:dyDescent="0.2">
      <c r="A122" s="92">
        <v>0</v>
      </c>
      <c r="B122" s="8">
        <v>1621000110</v>
      </c>
      <c r="C122" s="8" t="s">
        <v>73</v>
      </c>
      <c r="D122" s="24">
        <v>350000</v>
      </c>
      <c r="E122" s="24">
        <v>350000</v>
      </c>
      <c r="F122" s="24">
        <f>+E122-D122</f>
        <v>0</v>
      </c>
      <c r="G122" s="20"/>
      <c r="H122" s="9"/>
      <c r="I122" s="9"/>
    </row>
    <row r="123" spans="1:9" s="93" customFormat="1" ht="15.95" customHeight="1" x14ac:dyDescent="0.25">
      <c r="A123" s="92">
        <v>0</v>
      </c>
      <c r="B123" s="8">
        <v>1621000530</v>
      </c>
      <c r="C123" s="8" t="s">
        <v>74</v>
      </c>
      <c r="D123" s="24">
        <v>75000</v>
      </c>
      <c r="E123" s="24">
        <v>75000</v>
      </c>
      <c r="F123" s="24">
        <f>+E123-D123</f>
        <v>0</v>
      </c>
      <c r="G123" s="20"/>
      <c r="H123" s="10"/>
      <c r="I123" s="10"/>
    </row>
    <row r="124" spans="1:9" s="93" customFormat="1" ht="15.95" customHeight="1" x14ac:dyDescent="0.25">
      <c r="A124" s="92"/>
      <c r="B124" s="8">
        <v>1621000210</v>
      </c>
      <c r="C124" s="8" t="s">
        <v>248</v>
      </c>
      <c r="D124" s="24">
        <f>135000-65000</f>
        <v>70000</v>
      </c>
      <c r="E124" s="24">
        <v>49000</v>
      </c>
      <c r="F124" s="24">
        <f>+E124-D124</f>
        <v>-21000</v>
      </c>
      <c r="G124" s="20"/>
      <c r="H124" s="10"/>
      <c r="I124" s="10"/>
    </row>
    <row r="125" spans="1:9" s="93" customFormat="1" ht="15.95" customHeight="1" x14ac:dyDescent="0.2">
      <c r="A125" s="92">
        <v>0</v>
      </c>
      <c r="B125" s="8">
        <v>1621100750</v>
      </c>
      <c r="C125" s="8" t="s">
        <v>75</v>
      </c>
      <c r="D125" s="24">
        <f>75000+100000</f>
        <v>175000</v>
      </c>
      <c r="E125" s="24">
        <v>200000</v>
      </c>
      <c r="F125" s="24">
        <f>+E125-D125</f>
        <v>25000</v>
      </c>
      <c r="G125" s="20"/>
      <c r="H125" s="9"/>
      <c r="I125" s="9"/>
    </row>
    <row r="126" spans="1:9" s="93" customFormat="1" ht="15.95" customHeight="1" x14ac:dyDescent="0.2">
      <c r="A126" s="92">
        <v>0</v>
      </c>
      <c r="B126" s="8">
        <v>1621200750</v>
      </c>
      <c r="C126" s="8" t="s">
        <v>76</v>
      </c>
      <c r="D126" s="24">
        <v>50000</v>
      </c>
      <c r="E126" s="24">
        <f>50000-44000</f>
        <v>6000</v>
      </c>
      <c r="F126" s="24">
        <f>+E126-D126</f>
        <v>-44000</v>
      </c>
      <c r="G126" s="20"/>
      <c r="H126" s="9"/>
      <c r="I126" s="9"/>
    </row>
    <row r="127" spans="1:9" s="93" customFormat="1" ht="15.95" customHeight="1" x14ac:dyDescent="0.2">
      <c r="A127" s="92">
        <v>0</v>
      </c>
      <c r="B127" s="8">
        <v>1621300750</v>
      </c>
      <c r="C127" s="8" t="s">
        <v>77</v>
      </c>
      <c r="D127" s="24">
        <v>515000</v>
      </c>
      <c r="E127" s="24">
        <v>515000</v>
      </c>
      <c r="F127" s="24">
        <f>+E127-D127</f>
        <v>0</v>
      </c>
      <c r="G127" s="20"/>
      <c r="H127" s="9"/>
      <c r="I127" s="9"/>
    </row>
    <row r="128" spans="1:9" s="93" customFormat="1" ht="15.95" customHeight="1" thickBot="1" x14ac:dyDescent="0.3">
      <c r="A128" s="94">
        <v>0</v>
      </c>
      <c r="B128" s="37">
        <v>1623000750</v>
      </c>
      <c r="C128" s="37" t="s">
        <v>78</v>
      </c>
      <c r="D128" s="25">
        <v>150000</v>
      </c>
      <c r="E128" s="25">
        <v>120000</v>
      </c>
      <c r="F128" s="24">
        <f>+E128-D128</f>
        <v>-30000</v>
      </c>
      <c r="G128" s="27"/>
      <c r="H128" s="9"/>
      <c r="I128" s="9"/>
    </row>
    <row r="129" spans="1:9" s="93" customFormat="1" ht="15.95" customHeight="1" thickBot="1" x14ac:dyDescent="0.3">
      <c r="A129" s="95">
        <v>1</v>
      </c>
      <c r="B129" s="38">
        <v>262</v>
      </c>
      <c r="C129" s="38" t="s">
        <v>79</v>
      </c>
      <c r="D129" s="29">
        <f>SUM(D122:D128)</f>
        <v>1385000</v>
      </c>
      <c r="E129" s="29">
        <f t="shared" ref="E129:F129" si="29">SUM(E122:E128)</f>
        <v>1315000</v>
      </c>
      <c r="F129" s="55">
        <f t="shared" si="29"/>
        <v>-70000</v>
      </c>
      <c r="G129" s="20"/>
      <c r="H129" s="9"/>
      <c r="I129" s="9"/>
    </row>
    <row r="130" spans="1:9" s="93" customFormat="1" ht="15.95" customHeight="1" thickBot="1" x14ac:dyDescent="0.3">
      <c r="A130" s="95">
        <v>2</v>
      </c>
      <c r="B130" s="38">
        <v>0</v>
      </c>
      <c r="C130" s="38" t="s">
        <v>72</v>
      </c>
      <c r="D130" s="29">
        <f>+D129</f>
        <v>1385000</v>
      </c>
      <c r="E130" s="29">
        <f t="shared" ref="E130:F130" si="30">+E129</f>
        <v>1315000</v>
      </c>
      <c r="F130" s="55">
        <f t="shared" si="30"/>
        <v>-70000</v>
      </c>
      <c r="G130" s="21"/>
      <c r="H130" s="9"/>
      <c r="I130" s="9"/>
    </row>
    <row r="131" spans="1:9" s="93" customFormat="1" ht="15.95" customHeight="1" x14ac:dyDescent="0.2">
      <c r="A131" s="98"/>
      <c r="B131" s="36">
        <v>0</v>
      </c>
      <c r="C131" s="36"/>
      <c r="D131" s="54"/>
      <c r="E131" s="54"/>
      <c r="F131" s="54"/>
      <c r="G131" s="20"/>
      <c r="H131" s="9"/>
      <c r="I131" s="9"/>
    </row>
    <row r="132" spans="1:9" s="93" customFormat="1" ht="15.95" customHeight="1" x14ac:dyDescent="0.2">
      <c r="A132" s="92">
        <v>0</v>
      </c>
      <c r="B132" s="8">
        <v>1631000610</v>
      </c>
      <c r="C132" s="8" t="s">
        <v>80</v>
      </c>
      <c r="D132" s="24">
        <v>35000</v>
      </c>
      <c r="E132" s="24">
        <v>35000</v>
      </c>
      <c r="F132" s="24">
        <f>+E132-D132</f>
        <v>0</v>
      </c>
      <c r="G132" s="20"/>
      <c r="H132" s="9"/>
      <c r="I132" s="9"/>
    </row>
    <row r="133" spans="1:9" s="93" customFormat="1" ht="15.95" customHeight="1" thickBot="1" x14ac:dyDescent="0.3">
      <c r="A133" s="94">
        <v>0</v>
      </c>
      <c r="B133" s="37">
        <v>1631000611</v>
      </c>
      <c r="C133" s="37" t="s">
        <v>81</v>
      </c>
      <c r="D133" s="25">
        <v>200000</v>
      </c>
      <c r="E133" s="25">
        <v>150000</v>
      </c>
      <c r="F133" s="24">
        <f>+E133-D133</f>
        <v>-50000</v>
      </c>
      <c r="G133" s="20"/>
      <c r="H133" s="10"/>
      <c r="I133" s="10"/>
    </row>
    <row r="134" spans="1:9" s="93" customFormat="1" ht="15.95" customHeight="1" thickBot="1" x14ac:dyDescent="0.3">
      <c r="A134" s="95">
        <v>1</v>
      </c>
      <c r="B134" s="38">
        <v>263</v>
      </c>
      <c r="C134" s="38" t="s">
        <v>82</v>
      </c>
      <c r="D134" s="29">
        <f>SUM(D132:D133)</f>
        <v>235000</v>
      </c>
      <c r="E134" s="29">
        <f t="shared" ref="E134:F134" si="31">SUM(E132:E133)</f>
        <v>185000</v>
      </c>
      <c r="F134" s="55">
        <f t="shared" si="31"/>
        <v>-50000</v>
      </c>
      <c r="G134" s="21"/>
      <c r="H134" s="10"/>
      <c r="I134" s="10"/>
    </row>
    <row r="135" spans="1:9" s="93" customFormat="1" ht="15.95" customHeight="1" thickBot="1" x14ac:dyDescent="0.3">
      <c r="A135" s="95">
        <v>2</v>
      </c>
      <c r="B135" s="38">
        <v>0</v>
      </c>
      <c r="C135" s="38" t="s">
        <v>83</v>
      </c>
      <c r="D135" s="29">
        <f>+D134</f>
        <v>235000</v>
      </c>
      <c r="E135" s="29">
        <f t="shared" ref="E135:F135" si="32">+E134</f>
        <v>185000</v>
      </c>
      <c r="F135" s="55">
        <f t="shared" si="32"/>
        <v>-50000</v>
      </c>
      <c r="G135" s="21"/>
      <c r="H135" s="9"/>
      <c r="I135" s="9"/>
    </row>
    <row r="136" spans="1:9" s="93" customFormat="1" ht="15.95" customHeight="1" thickBot="1" x14ac:dyDescent="0.25">
      <c r="A136" s="97"/>
      <c r="B136" s="39">
        <v>0</v>
      </c>
      <c r="C136" s="39"/>
      <c r="D136" s="17"/>
      <c r="E136" s="17"/>
      <c r="F136" s="62"/>
      <c r="G136" s="20"/>
      <c r="H136" s="9"/>
      <c r="I136" s="9"/>
    </row>
    <row r="137" spans="1:9" s="93" customFormat="1" ht="15.95" customHeight="1" thickBot="1" x14ac:dyDescent="0.3">
      <c r="A137" s="95">
        <v>1</v>
      </c>
      <c r="B137" s="38">
        <v>264</v>
      </c>
      <c r="C137" s="38" t="s">
        <v>84</v>
      </c>
      <c r="D137" s="29"/>
      <c r="E137" s="29"/>
      <c r="F137" s="63"/>
      <c r="G137" s="20"/>
      <c r="H137" s="9"/>
      <c r="I137" s="9"/>
    </row>
    <row r="138" spans="1:9" s="93" customFormat="1" ht="15.95" customHeight="1" thickBot="1" x14ac:dyDescent="0.3">
      <c r="A138" s="95">
        <v>2</v>
      </c>
      <c r="B138" s="38"/>
      <c r="C138" s="38" t="s">
        <v>85</v>
      </c>
      <c r="D138" s="55"/>
      <c r="E138" s="55"/>
      <c r="F138" s="64"/>
      <c r="G138" s="21"/>
      <c r="H138" s="10"/>
      <c r="I138" s="10"/>
    </row>
    <row r="139" spans="1:9" s="93" customFormat="1" ht="15.95" customHeight="1" thickBot="1" x14ac:dyDescent="0.3">
      <c r="A139" s="95">
        <v>3</v>
      </c>
      <c r="B139" s="38">
        <v>0</v>
      </c>
      <c r="C139" s="38" t="s">
        <v>86</v>
      </c>
      <c r="D139" s="29">
        <f>+D135+D130+D120</f>
        <v>3823000</v>
      </c>
      <c r="E139" s="29">
        <f t="shared" ref="E139:F139" si="33">+E135+E130+E120</f>
        <v>3465000</v>
      </c>
      <c r="F139" s="55">
        <f t="shared" si="33"/>
        <v>-358000</v>
      </c>
      <c r="G139" s="21"/>
      <c r="H139" s="10"/>
      <c r="I139" s="10"/>
    </row>
    <row r="140" spans="1:9" s="93" customFormat="1" ht="15.95" customHeight="1" x14ac:dyDescent="0.2">
      <c r="A140" s="98"/>
      <c r="B140" s="36">
        <v>0</v>
      </c>
      <c r="C140" s="36"/>
      <c r="D140" s="54"/>
      <c r="E140" s="54"/>
      <c r="F140" s="54"/>
      <c r="G140" s="20"/>
      <c r="H140" s="9"/>
      <c r="I140" s="9"/>
    </row>
    <row r="141" spans="1:9" s="93" customFormat="1" ht="15.95" customHeight="1" x14ac:dyDescent="0.25">
      <c r="A141" s="92">
        <v>0</v>
      </c>
      <c r="B141" s="8">
        <v>1712200110</v>
      </c>
      <c r="C141" s="8" t="s">
        <v>87</v>
      </c>
      <c r="D141" s="24">
        <v>120000</v>
      </c>
      <c r="E141" s="24">
        <v>121000</v>
      </c>
      <c r="F141" s="24">
        <f>+E141-D141</f>
        <v>1000</v>
      </c>
      <c r="G141" s="20"/>
      <c r="H141" s="10"/>
      <c r="I141" s="10"/>
    </row>
    <row r="142" spans="1:9" s="93" customFormat="1" ht="15.95" customHeight="1" x14ac:dyDescent="0.25">
      <c r="A142" s="92">
        <v>0</v>
      </c>
      <c r="B142" s="8">
        <v>1712300750</v>
      </c>
      <c r="C142" s="8" t="s">
        <v>88</v>
      </c>
      <c r="D142" s="24">
        <f>2552000-100000</f>
        <v>2452000</v>
      </c>
      <c r="E142" s="24">
        <f>[4]סיכומים!$D$18</f>
        <v>2372000</v>
      </c>
      <c r="F142" s="24">
        <f>+E142-D142</f>
        <v>-80000</v>
      </c>
      <c r="G142" s="20"/>
      <c r="H142" s="10"/>
      <c r="I142" s="10"/>
    </row>
    <row r="143" spans="1:9" s="93" customFormat="1" ht="15.95" customHeight="1" x14ac:dyDescent="0.25">
      <c r="A143" s="92">
        <v>0</v>
      </c>
      <c r="B143" s="8">
        <v>1714000110</v>
      </c>
      <c r="C143" s="8" t="s">
        <v>256</v>
      </c>
      <c r="D143" s="24">
        <v>46000</v>
      </c>
      <c r="E143" s="24">
        <v>48000</v>
      </c>
      <c r="F143" s="24">
        <f>+E143-D143</f>
        <v>2000</v>
      </c>
      <c r="G143" s="20"/>
      <c r="H143" s="10"/>
      <c r="I143" s="10"/>
    </row>
    <row r="144" spans="1:9" s="93" customFormat="1" ht="15.95" customHeight="1" x14ac:dyDescent="0.2">
      <c r="A144" s="92">
        <v>0</v>
      </c>
      <c r="B144" s="8">
        <v>1714300750</v>
      </c>
      <c r="C144" s="8" t="s">
        <v>209</v>
      </c>
      <c r="D144" s="24">
        <f>88000-20000</f>
        <v>68000</v>
      </c>
      <c r="E144" s="24">
        <f>[2]סיכומים!$D$34</f>
        <v>75000</v>
      </c>
      <c r="F144" s="24">
        <f>+E144-D144</f>
        <v>7000</v>
      </c>
      <c r="G144" s="17"/>
      <c r="H144" s="9"/>
      <c r="I144" s="9"/>
    </row>
    <row r="145" spans="1:9" s="93" customFormat="1" ht="15.95" customHeight="1" thickBot="1" x14ac:dyDescent="0.25">
      <c r="A145" s="94">
        <v>0</v>
      </c>
      <c r="B145" s="37">
        <v>1715300750</v>
      </c>
      <c r="C145" s="37" t="s">
        <v>89</v>
      </c>
      <c r="D145" s="25">
        <f>225000-60000</f>
        <v>165000</v>
      </c>
      <c r="E145" s="25">
        <f>[2]סיכומים!$D$33</f>
        <v>168000</v>
      </c>
      <c r="F145" s="24">
        <f>+E145-D145</f>
        <v>3000</v>
      </c>
      <c r="G145" s="20"/>
      <c r="H145" s="9"/>
      <c r="I145" s="9"/>
    </row>
    <row r="146" spans="1:9" s="93" customFormat="1" ht="15.95" customHeight="1" thickBot="1" x14ac:dyDescent="0.3">
      <c r="A146" s="95">
        <v>1</v>
      </c>
      <c r="B146" s="38">
        <v>271</v>
      </c>
      <c r="C146" s="38" t="s">
        <v>10</v>
      </c>
      <c r="D146" s="29">
        <f>SUM(D141:D145)</f>
        <v>2851000</v>
      </c>
      <c r="E146" s="29">
        <f t="shared" ref="E146:F146" si="34">SUM(E141:E145)</f>
        <v>2784000</v>
      </c>
      <c r="F146" s="55">
        <f t="shared" si="34"/>
        <v>-67000</v>
      </c>
      <c r="G146" s="21"/>
      <c r="H146" s="9"/>
      <c r="I146" s="9"/>
    </row>
    <row r="147" spans="1:9" s="93" customFormat="1" ht="15.95" customHeight="1" thickBot="1" x14ac:dyDescent="0.3">
      <c r="A147" s="95">
        <v>2</v>
      </c>
      <c r="B147" s="38">
        <v>0</v>
      </c>
      <c r="C147" s="38" t="s">
        <v>90</v>
      </c>
      <c r="D147" s="29">
        <f>+D146</f>
        <v>2851000</v>
      </c>
      <c r="E147" s="29">
        <f t="shared" ref="E147:F147" si="35">+E146</f>
        <v>2784000</v>
      </c>
      <c r="F147" s="55">
        <f t="shared" si="35"/>
        <v>-67000</v>
      </c>
      <c r="G147" s="21"/>
      <c r="H147" s="9"/>
      <c r="I147" s="9"/>
    </row>
    <row r="148" spans="1:9" s="93" customFormat="1" ht="15.95" customHeight="1" x14ac:dyDescent="0.2">
      <c r="A148" s="98"/>
      <c r="B148" s="36">
        <v>0</v>
      </c>
      <c r="C148" s="36"/>
      <c r="D148" s="54"/>
      <c r="E148" s="54"/>
      <c r="F148" s="54"/>
      <c r="G148" s="20"/>
      <c r="H148" s="9"/>
      <c r="I148" s="9"/>
    </row>
    <row r="149" spans="1:9" s="93" customFormat="1" ht="15.95" customHeight="1" x14ac:dyDescent="0.25">
      <c r="A149" s="92">
        <v>0</v>
      </c>
      <c r="B149" s="8">
        <v>1722000750</v>
      </c>
      <c r="C149" s="8" t="s">
        <v>91</v>
      </c>
      <c r="D149" s="24">
        <f>800000-25000</f>
        <v>775000</v>
      </c>
      <c r="E149" s="24">
        <f>'[5]סה"כ'!$B$3+60000+50000</f>
        <v>880000</v>
      </c>
      <c r="F149" s="24">
        <f>+E149-D149</f>
        <v>105000</v>
      </c>
      <c r="G149" s="20"/>
      <c r="H149" s="10"/>
      <c r="I149" s="10"/>
    </row>
    <row r="150" spans="1:9" s="93" customFormat="1" ht="15.95" customHeight="1" x14ac:dyDescent="0.25">
      <c r="A150" s="92">
        <v>0</v>
      </c>
      <c r="B150" s="8">
        <v>1723000812</v>
      </c>
      <c r="C150" s="8" t="s">
        <v>92</v>
      </c>
      <c r="D150" s="24">
        <f>10000-4000</f>
        <v>6000</v>
      </c>
      <c r="E150" s="24">
        <v>0</v>
      </c>
      <c r="F150" s="24">
        <f>+E150-D150</f>
        <v>-6000</v>
      </c>
      <c r="G150" s="20"/>
      <c r="H150" s="10"/>
      <c r="I150" s="10"/>
    </row>
    <row r="151" spans="1:9" s="93" customFormat="1" ht="15.95" customHeight="1" x14ac:dyDescent="0.2">
      <c r="A151" s="92">
        <v>0</v>
      </c>
      <c r="B151" s="8">
        <v>1724000830</v>
      </c>
      <c r="C151" s="8" t="s">
        <v>93</v>
      </c>
      <c r="D151" s="24">
        <f>100000-19000</f>
        <v>81000</v>
      </c>
      <c r="E151" s="24">
        <v>81000</v>
      </c>
      <c r="F151" s="24">
        <f>+E151-D151</f>
        <v>0</v>
      </c>
      <c r="G151" s="20"/>
      <c r="H151" s="9"/>
      <c r="I151" s="9"/>
    </row>
    <row r="152" spans="1:9" s="93" customFormat="1" ht="15.95" customHeight="1" x14ac:dyDescent="0.2">
      <c r="A152" s="92"/>
      <c r="B152" s="8">
        <v>1726000110</v>
      </c>
      <c r="C152" s="8" t="s">
        <v>284</v>
      </c>
      <c r="D152" s="24">
        <f>55000-25000</f>
        <v>30000</v>
      </c>
      <c r="E152" s="24">
        <v>130000</v>
      </c>
      <c r="F152" s="24">
        <f>+E152-D152</f>
        <v>100000</v>
      </c>
      <c r="G152" s="20"/>
      <c r="H152" s="9"/>
      <c r="I152" s="9"/>
    </row>
    <row r="153" spans="1:9" s="93" customFormat="1" ht="15.95" customHeight="1" x14ac:dyDescent="0.2">
      <c r="A153" s="92">
        <v>0</v>
      </c>
      <c r="B153" s="8">
        <v>1725000110</v>
      </c>
      <c r="C153" s="8" t="s">
        <v>227</v>
      </c>
      <c r="D153" s="24">
        <v>111000</v>
      </c>
      <c r="E153" s="24">
        <v>88000</v>
      </c>
      <c r="F153" s="24">
        <f>+E153-D153</f>
        <v>-23000</v>
      </c>
      <c r="G153" s="20"/>
      <c r="H153" s="9"/>
      <c r="I153" s="9"/>
    </row>
    <row r="154" spans="1:9" s="93" customFormat="1" ht="15.95" customHeight="1" x14ac:dyDescent="0.2">
      <c r="A154" s="92"/>
      <c r="B154" s="8">
        <v>1725000530</v>
      </c>
      <c r="C154" s="8" t="s">
        <v>213</v>
      </c>
      <c r="D154" s="24">
        <v>60000</v>
      </c>
      <c r="E154" s="24">
        <f>50000+10000</f>
        <v>60000</v>
      </c>
      <c r="F154" s="24">
        <f>+E154-D154</f>
        <v>0</v>
      </c>
      <c r="G154" s="20"/>
      <c r="H154" s="9"/>
      <c r="I154" s="9"/>
    </row>
    <row r="155" spans="1:9" s="93" customFormat="1" ht="15.95" customHeight="1" x14ac:dyDescent="0.2">
      <c r="A155" s="92">
        <v>0</v>
      </c>
      <c r="B155" s="8">
        <v>1725000780</v>
      </c>
      <c r="C155" s="8" t="s">
        <v>94</v>
      </c>
      <c r="D155" s="24">
        <v>68000</v>
      </c>
      <c r="E155" s="24">
        <f>'[5]סה"כ'!$B$4</f>
        <v>43000</v>
      </c>
      <c r="F155" s="24">
        <f>+E155-D155</f>
        <v>-25000</v>
      </c>
      <c r="G155" s="20"/>
      <c r="H155" s="9"/>
      <c r="I155" s="9"/>
    </row>
    <row r="156" spans="1:9" s="93" customFormat="1" ht="15.95" customHeight="1" x14ac:dyDescent="0.2">
      <c r="A156" s="92">
        <v>0</v>
      </c>
      <c r="B156" s="8">
        <v>1725100110</v>
      </c>
      <c r="C156" s="8" t="s">
        <v>95</v>
      </c>
      <c r="D156" s="25">
        <v>55000</v>
      </c>
      <c r="E156" s="25">
        <v>44000</v>
      </c>
      <c r="F156" s="24">
        <f>+E156-D156</f>
        <v>-11000</v>
      </c>
      <c r="G156" s="20"/>
      <c r="H156" s="9"/>
      <c r="I156" s="9"/>
    </row>
    <row r="157" spans="1:9" s="93" customFormat="1" ht="15.95" customHeight="1" x14ac:dyDescent="0.2">
      <c r="A157" s="94">
        <v>0</v>
      </c>
      <c r="B157" s="37">
        <v>1726000740</v>
      </c>
      <c r="C157" s="37" t="s">
        <v>96</v>
      </c>
      <c r="D157" s="61">
        <f>11000-11000</f>
        <v>0</v>
      </c>
      <c r="E157" s="61">
        <f>'[5]סה"כ'!$B$5</f>
        <v>8500</v>
      </c>
      <c r="F157" s="24">
        <f>+E157-D157</f>
        <v>8500</v>
      </c>
      <c r="G157" s="20"/>
      <c r="H157" s="9"/>
      <c r="I157" s="9"/>
    </row>
    <row r="158" spans="1:9" s="93" customFormat="1" ht="15.95" customHeight="1" thickBot="1" x14ac:dyDescent="0.25">
      <c r="A158" s="97"/>
      <c r="B158" s="39">
        <v>1726000750</v>
      </c>
      <c r="C158" s="39" t="s">
        <v>214</v>
      </c>
      <c r="D158" s="40">
        <v>118000</v>
      </c>
      <c r="E158" s="40">
        <f>+'[5]סה"כ'!$B$6</f>
        <v>96500</v>
      </c>
      <c r="F158" s="24">
        <f>+E158-D158</f>
        <v>-21500</v>
      </c>
      <c r="G158" s="20"/>
      <c r="H158" s="9"/>
      <c r="I158" s="9"/>
    </row>
    <row r="159" spans="1:9" s="93" customFormat="1" ht="15.95" customHeight="1" thickBot="1" x14ac:dyDescent="0.3">
      <c r="A159" s="95">
        <v>1</v>
      </c>
      <c r="B159" s="38">
        <v>272</v>
      </c>
      <c r="C159" s="38" t="s">
        <v>15</v>
      </c>
      <c r="D159" s="29">
        <f>SUM(D149:D158)</f>
        <v>1304000</v>
      </c>
      <c r="E159" s="29">
        <f t="shared" ref="E159:F159" si="36">SUM(E149:E158)</f>
        <v>1431000</v>
      </c>
      <c r="F159" s="55">
        <f t="shared" si="36"/>
        <v>127000</v>
      </c>
      <c r="G159" s="21"/>
      <c r="H159" s="9"/>
      <c r="I159" s="9"/>
    </row>
    <row r="160" spans="1:9" s="93" customFormat="1" ht="15.95" customHeight="1" thickBot="1" x14ac:dyDescent="0.3">
      <c r="A160" s="95">
        <v>2</v>
      </c>
      <c r="B160" s="38">
        <v>0</v>
      </c>
      <c r="C160" s="38" t="s">
        <v>97</v>
      </c>
      <c r="D160" s="29">
        <f>+D159</f>
        <v>1304000</v>
      </c>
      <c r="E160" s="29">
        <f t="shared" ref="E160:F160" si="37">+E159</f>
        <v>1431000</v>
      </c>
      <c r="F160" s="55">
        <f t="shared" si="37"/>
        <v>127000</v>
      </c>
      <c r="G160" s="21"/>
      <c r="H160" s="9"/>
      <c r="I160" s="9"/>
    </row>
    <row r="161" spans="1:11" s="93" customFormat="1" ht="15.95" customHeight="1" x14ac:dyDescent="0.2">
      <c r="A161" s="98"/>
      <c r="B161" s="36">
        <v>0</v>
      </c>
      <c r="C161" s="36"/>
      <c r="D161" s="54"/>
      <c r="E161" s="54"/>
      <c r="F161" s="54"/>
      <c r="G161" s="20"/>
      <c r="H161" s="9"/>
      <c r="I161" s="9"/>
    </row>
    <row r="162" spans="1:11" s="93" customFormat="1" ht="15.95" customHeight="1" x14ac:dyDescent="0.2">
      <c r="A162" s="92">
        <v>0</v>
      </c>
      <c r="B162" s="8">
        <v>1730000540</v>
      </c>
      <c r="C162" s="8" t="s">
        <v>98</v>
      </c>
      <c r="D162" s="24">
        <v>10000</v>
      </c>
      <c r="E162" s="24">
        <f>20000-10000</f>
        <v>10000</v>
      </c>
      <c r="F162" s="24">
        <f>+E162-D162</f>
        <v>0</v>
      </c>
      <c r="G162" s="20"/>
      <c r="H162" s="9"/>
      <c r="I162" s="9"/>
    </row>
    <row r="163" spans="1:11" s="93" customFormat="1" ht="15.95" customHeight="1" x14ac:dyDescent="0.25">
      <c r="A163" s="92">
        <v>0</v>
      </c>
      <c r="B163" s="8">
        <v>1730000570</v>
      </c>
      <c r="C163" s="8" t="s">
        <v>193</v>
      </c>
      <c r="D163" s="24">
        <f>103000+275000+25000</f>
        <v>403000</v>
      </c>
      <c r="E163" s="24">
        <f>1500000-803000</f>
        <v>697000</v>
      </c>
      <c r="F163" s="24">
        <f>+E163-D163</f>
        <v>294000</v>
      </c>
      <c r="G163" s="20"/>
      <c r="H163" s="10"/>
      <c r="I163" s="10"/>
    </row>
    <row r="164" spans="1:11" s="93" customFormat="1" ht="15.95" customHeight="1" x14ac:dyDescent="0.25">
      <c r="A164" s="92">
        <v>0</v>
      </c>
      <c r="B164" s="8">
        <v>1730000750</v>
      </c>
      <c r="C164" s="8" t="s">
        <v>253</v>
      </c>
      <c r="D164" s="24">
        <v>600000</v>
      </c>
      <c r="E164" s="24">
        <v>1000000</v>
      </c>
      <c r="F164" s="24">
        <f>+E164-D164</f>
        <v>400000</v>
      </c>
      <c r="G164" s="20"/>
      <c r="H164" s="10"/>
      <c r="I164" s="10"/>
    </row>
    <row r="165" spans="1:11" s="93" customFormat="1" ht="15.95" customHeight="1" x14ac:dyDescent="0.2">
      <c r="A165" s="92">
        <v>0</v>
      </c>
      <c r="B165" s="8">
        <v>1731000110</v>
      </c>
      <c r="C165" s="8" t="s">
        <v>99</v>
      </c>
      <c r="D165" s="24">
        <v>301000</v>
      </c>
      <c r="E165" s="24">
        <v>300000</v>
      </c>
      <c r="F165" s="24">
        <f>+E165-D165</f>
        <v>-1000</v>
      </c>
      <c r="G165" s="20"/>
      <c r="H165" s="9"/>
      <c r="I165" s="9"/>
    </row>
    <row r="166" spans="1:11" s="93" customFormat="1" ht="15.95" customHeight="1" x14ac:dyDescent="0.2">
      <c r="A166" s="92"/>
      <c r="B166" s="8">
        <v>1731000530</v>
      </c>
      <c r="C166" s="8" t="s">
        <v>271</v>
      </c>
      <c r="D166" s="24">
        <v>0</v>
      </c>
      <c r="E166" s="24">
        <v>65000</v>
      </c>
      <c r="F166" s="24">
        <f>+E166-D166</f>
        <v>65000</v>
      </c>
      <c r="G166" s="20"/>
      <c r="H166" s="9"/>
      <c r="I166" s="9"/>
      <c r="J166" s="102"/>
    </row>
    <row r="167" spans="1:11" s="93" customFormat="1" ht="15.95" customHeight="1" x14ac:dyDescent="0.2">
      <c r="A167" s="92"/>
      <c r="B167" s="8">
        <v>1731000750</v>
      </c>
      <c r="C167" s="8" t="s">
        <v>289</v>
      </c>
      <c r="D167" s="24"/>
      <c r="E167" s="24">
        <f>20000-20000</f>
        <v>0</v>
      </c>
      <c r="F167" s="24">
        <f>+E167-D167</f>
        <v>0</v>
      </c>
      <c r="G167" s="20"/>
      <c r="H167" s="9"/>
      <c r="I167" s="9"/>
      <c r="J167" s="9"/>
    </row>
    <row r="168" spans="1:11" s="93" customFormat="1" ht="15.95" customHeight="1" x14ac:dyDescent="0.2">
      <c r="A168" s="92">
        <v>0</v>
      </c>
      <c r="B168" s="8">
        <v>1731100110</v>
      </c>
      <c r="C168" s="8" t="s">
        <v>203</v>
      </c>
      <c r="D168" s="24">
        <v>118000</v>
      </c>
      <c r="E168" s="24">
        <v>130000</v>
      </c>
      <c r="F168" s="24">
        <f>+E168-D168</f>
        <v>12000</v>
      </c>
      <c r="G168" s="20"/>
      <c r="H168" s="9"/>
      <c r="I168" s="9"/>
      <c r="K168" s="93" t="s">
        <v>190</v>
      </c>
    </row>
    <row r="169" spans="1:11" s="93" customFormat="1" ht="15.95" customHeight="1" x14ac:dyDescent="0.2">
      <c r="A169" s="92">
        <v>0</v>
      </c>
      <c r="B169" s="8">
        <v>1731200110</v>
      </c>
      <c r="C169" s="8" t="s">
        <v>100</v>
      </c>
      <c r="D169" s="24">
        <f>30000+53000</f>
        <v>83000</v>
      </c>
      <c r="E169" s="24">
        <f>80000+54000</f>
        <v>134000</v>
      </c>
      <c r="F169" s="24">
        <f>+E169-D169</f>
        <v>51000</v>
      </c>
      <c r="G169" s="20"/>
      <c r="H169" s="9"/>
      <c r="I169" s="9"/>
    </row>
    <row r="170" spans="1:11" s="93" customFormat="1" ht="15.95" customHeight="1" x14ac:dyDescent="0.2">
      <c r="A170" s="92">
        <v>0</v>
      </c>
      <c r="B170" s="8">
        <v>1731200750</v>
      </c>
      <c r="C170" s="8" t="s">
        <v>101</v>
      </c>
      <c r="D170" s="24">
        <v>1000000</v>
      </c>
      <c r="E170" s="24">
        <v>600000</v>
      </c>
      <c r="F170" s="24">
        <f>+E170-D170</f>
        <v>-400000</v>
      </c>
      <c r="G170" s="20"/>
      <c r="H170" s="9"/>
      <c r="I170" s="9"/>
    </row>
    <row r="171" spans="1:11" s="93" customFormat="1" ht="15.95" customHeight="1" x14ac:dyDescent="0.2">
      <c r="A171" s="92"/>
      <c r="B171" s="8">
        <v>1731200930</v>
      </c>
      <c r="C171" s="8" t="s">
        <v>261</v>
      </c>
      <c r="D171" s="24">
        <v>140000</v>
      </c>
      <c r="E171" s="24">
        <f>140000*2-60000-140000</f>
        <v>80000</v>
      </c>
      <c r="F171" s="24">
        <f>+E171-D171</f>
        <v>-60000</v>
      </c>
      <c r="G171" s="20"/>
      <c r="H171" s="9"/>
      <c r="I171" s="9"/>
    </row>
    <row r="172" spans="1:11" s="93" customFormat="1" ht="15.95" customHeight="1" x14ac:dyDescent="0.2">
      <c r="A172" s="92">
        <v>0</v>
      </c>
      <c r="B172" s="8">
        <v>1731300110</v>
      </c>
      <c r="C172" s="8" t="s">
        <v>185</v>
      </c>
      <c r="D172" s="24">
        <v>118000</v>
      </c>
      <c r="E172" s="24">
        <f>130000+110000</f>
        <v>240000</v>
      </c>
      <c r="F172" s="24">
        <f>+E172-D172</f>
        <v>122000</v>
      </c>
      <c r="G172" s="20"/>
      <c r="H172" s="9"/>
      <c r="I172" s="9"/>
    </row>
    <row r="173" spans="1:11" s="93" customFormat="1" ht="15.95" customHeight="1" x14ac:dyDescent="0.2">
      <c r="A173" s="92">
        <v>0</v>
      </c>
      <c r="B173" s="8">
        <v>1731300750</v>
      </c>
      <c r="C173" s="8" t="s">
        <v>102</v>
      </c>
      <c r="D173" s="24">
        <f>75000+267000+120000</f>
        <v>462000</v>
      </c>
      <c r="E173" s="24">
        <v>354000</v>
      </c>
      <c r="F173" s="24">
        <f>+E173-D173</f>
        <v>-108000</v>
      </c>
      <c r="G173" s="20"/>
      <c r="H173" s="9"/>
      <c r="I173" s="9"/>
      <c r="K173" s="93" t="s">
        <v>191</v>
      </c>
    </row>
    <row r="174" spans="1:11" s="93" customFormat="1" ht="15.95" customHeight="1" x14ac:dyDescent="0.2">
      <c r="A174" s="92"/>
      <c r="B174" s="8">
        <v>1731500110</v>
      </c>
      <c r="C174" s="8" t="s">
        <v>265</v>
      </c>
      <c r="D174" s="24">
        <v>350000</v>
      </c>
      <c r="E174" s="24">
        <v>100000</v>
      </c>
      <c r="F174" s="24">
        <f>+E174-D174</f>
        <v>-250000</v>
      </c>
      <c r="G174" s="20"/>
      <c r="H174" s="9"/>
      <c r="I174" s="9"/>
    </row>
    <row r="175" spans="1:11" s="93" customFormat="1" ht="32.25" customHeight="1" x14ac:dyDescent="0.2">
      <c r="A175" s="92"/>
      <c r="B175" s="8">
        <v>1731600110</v>
      </c>
      <c r="C175" s="8" t="s">
        <v>283</v>
      </c>
      <c r="D175" s="24">
        <v>140000</v>
      </c>
      <c r="E175" s="24">
        <f>140000*2</f>
        <v>280000</v>
      </c>
      <c r="F175" s="24">
        <f>+E175-D175</f>
        <v>140000</v>
      </c>
      <c r="G175" s="20"/>
      <c r="H175" s="9"/>
      <c r="I175" s="9"/>
    </row>
    <row r="176" spans="1:11" s="93" customFormat="1" ht="15.95" customHeight="1" x14ac:dyDescent="0.2">
      <c r="A176" s="92">
        <v>0</v>
      </c>
      <c r="B176" s="8">
        <v>1731400750</v>
      </c>
      <c r="C176" s="8" t="s">
        <v>103</v>
      </c>
      <c r="D176" s="24">
        <v>245000</v>
      </c>
      <c r="E176" s="24">
        <f>+[2]סיכומים!$D$8+200</f>
        <v>235000</v>
      </c>
      <c r="F176" s="24">
        <f>+E176-D176</f>
        <v>-10000</v>
      </c>
      <c r="G176" s="20"/>
      <c r="H176" s="9"/>
      <c r="I176" s="9"/>
    </row>
    <row r="177" spans="1:9" s="93" customFormat="1" ht="15.95" customHeight="1" x14ac:dyDescent="0.2">
      <c r="A177" s="92">
        <v>0</v>
      </c>
      <c r="B177" s="8">
        <v>1742000420</v>
      </c>
      <c r="C177" s="8" t="s">
        <v>195</v>
      </c>
      <c r="D177" s="24">
        <f>370000+40000</f>
        <v>410000</v>
      </c>
      <c r="E177" s="24">
        <f>[2]סיכומים!$D$6+500+77000</f>
        <v>370000</v>
      </c>
      <c r="F177" s="24">
        <f>+E177-D177</f>
        <v>-40000</v>
      </c>
      <c r="G177" s="20"/>
      <c r="H177" s="9"/>
      <c r="I177" s="9"/>
    </row>
    <row r="178" spans="1:9" s="93" customFormat="1" ht="15.95" customHeight="1" x14ac:dyDescent="0.2">
      <c r="A178" s="92">
        <v>0</v>
      </c>
      <c r="B178" s="8">
        <v>1742000742</v>
      </c>
      <c r="C178" s="8" t="s">
        <v>112</v>
      </c>
      <c r="D178" s="24">
        <f>104000-40000</f>
        <v>64000</v>
      </c>
      <c r="E178" s="24">
        <f>[2]סיכומים!$D$12-E248</f>
        <v>67000</v>
      </c>
      <c r="F178" s="24">
        <f>+E178-D178</f>
        <v>3000</v>
      </c>
      <c r="G178" s="20"/>
      <c r="H178" s="9"/>
      <c r="I178" s="9"/>
    </row>
    <row r="179" spans="1:9" s="93" customFormat="1" ht="15.95" customHeight="1" x14ac:dyDescent="0.2">
      <c r="A179" s="92">
        <v>0</v>
      </c>
      <c r="B179" s="8">
        <v>1743100750</v>
      </c>
      <c r="C179" s="8" t="s">
        <v>180</v>
      </c>
      <c r="D179" s="24">
        <v>235000</v>
      </c>
      <c r="E179" s="24">
        <f>[2]סיכומים!$D$11</f>
        <v>235000</v>
      </c>
      <c r="F179" s="24">
        <f>+E179-D179</f>
        <v>0</v>
      </c>
      <c r="G179" s="20"/>
      <c r="H179" s="9"/>
      <c r="I179" s="9"/>
    </row>
    <row r="180" spans="1:9" s="93" customFormat="1" ht="15.95" customHeight="1" x14ac:dyDescent="0.2">
      <c r="A180" s="92"/>
      <c r="B180" s="8">
        <v>1735410750</v>
      </c>
      <c r="C180" s="8" t="s">
        <v>192</v>
      </c>
      <c r="D180" s="24">
        <v>120000</v>
      </c>
      <c r="E180" s="103">
        <f>[2]מחזור!$J$12-60000</f>
        <v>0</v>
      </c>
      <c r="F180" s="24">
        <f>+E180-D180</f>
        <v>-120000</v>
      </c>
      <c r="G180" s="20"/>
      <c r="H180" s="9"/>
      <c r="I180" s="9"/>
    </row>
    <row r="181" spans="1:9" s="93" customFormat="1" ht="15.95" customHeight="1" x14ac:dyDescent="0.2">
      <c r="A181" s="92"/>
      <c r="B181" s="8">
        <v>1731400110</v>
      </c>
      <c r="C181" s="8" t="s">
        <v>266</v>
      </c>
      <c r="D181" s="24">
        <v>120000</v>
      </c>
      <c r="E181" s="24">
        <v>0</v>
      </c>
      <c r="F181" s="24">
        <f>+E181-D181</f>
        <v>-120000</v>
      </c>
      <c r="G181" s="20"/>
      <c r="H181" s="9"/>
      <c r="I181" s="9"/>
    </row>
    <row r="182" spans="1:9" s="93" customFormat="1" ht="15.95" customHeight="1" x14ac:dyDescent="0.2">
      <c r="A182" s="92"/>
      <c r="B182" s="8">
        <v>1731400530</v>
      </c>
      <c r="C182" s="8" t="s">
        <v>260</v>
      </c>
      <c r="D182" s="24">
        <v>52000</v>
      </c>
      <c r="E182" s="24">
        <v>0</v>
      </c>
      <c r="F182" s="24">
        <f>+E182-D182</f>
        <v>-52000</v>
      </c>
      <c r="G182" s="20"/>
      <c r="H182" s="9"/>
      <c r="I182" s="9"/>
    </row>
    <row r="183" spans="1:9" s="93" customFormat="1" ht="15.95" customHeight="1" x14ac:dyDescent="0.2">
      <c r="A183" s="92">
        <v>0</v>
      </c>
      <c r="B183" s="8">
        <v>1731410750</v>
      </c>
      <c r="C183" s="8" t="s">
        <v>104</v>
      </c>
      <c r="D183" s="24">
        <v>20000</v>
      </c>
      <c r="E183" s="24">
        <v>50000</v>
      </c>
      <c r="F183" s="24">
        <f>+E183-D183</f>
        <v>30000</v>
      </c>
      <c r="G183" s="20"/>
      <c r="H183" s="9"/>
      <c r="I183" s="9"/>
    </row>
    <row r="184" spans="1:9" s="93" customFormat="1" ht="15.95" customHeight="1" x14ac:dyDescent="0.2">
      <c r="A184" s="92">
        <v>0</v>
      </c>
      <c r="B184" s="8">
        <v>1731500750</v>
      </c>
      <c r="C184" s="8" t="s">
        <v>105</v>
      </c>
      <c r="D184" s="24">
        <f>200000-100000</f>
        <v>100000</v>
      </c>
      <c r="E184" s="24">
        <v>200000</v>
      </c>
      <c r="F184" s="24">
        <f>+E184-D184</f>
        <v>100000</v>
      </c>
      <c r="G184" s="20"/>
      <c r="H184" s="9"/>
      <c r="I184" s="9"/>
    </row>
    <row r="185" spans="1:9" s="93" customFormat="1" ht="15.95" customHeight="1" x14ac:dyDescent="0.2">
      <c r="A185" s="92"/>
      <c r="B185" s="8">
        <v>1732500750</v>
      </c>
      <c r="C185" s="8" t="s">
        <v>212</v>
      </c>
      <c r="D185" s="24">
        <v>0</v>
      </c>
      <c r="E185" s="24">
        <v>200000</v>
      </c>
      <c r="F185" s="24">
        <f>+E185-D185</f>
        <v>200000</v>
      </c>
      <c r="G185" s="20"/>
      <c r="H185" s="9"/>
      <c r="I185" s="9"/>
    </row>
    <row r="186" spans="1:9" s="93" customFormat="1" ht="15.95" customHeight="1" x14ac:dyDescent="0.2">
      <c r="A186" s="92">
        <v>0</v>
      </c>
      <c r="B186" s="8">
        <v>1731500780</v>
      </c>
      <c r="C186" s="8" t="s">
        <v>206</v>
      </c>
      <c r="D186" s="24">
        <v>20000</v>
      </c>
      <c r="E186" s="24">
        <v>50000</v>
      </c>
      <c r="F186" s="24">
        <f>+E186-D186</f>
        <v>30000</v>
      </c>
      <c r="G186" s="20"/>
      <c r="H186" s="9"/>
      <c r="I186" s="9"/>
    </row>
    <row r="187" spans="1:9" s="93" customFormat="1" ht="15.95" customHeight="1" x14ac:dyDescent="0.2">
      <c r="A187" s="92">
        <v>0</v>
      </c>
      <c r="B187" s="8">
        <v>1731600750</v>
      </c>
      <c r="C187" s="8" t="s">
        <v>204</v>
      </c>
      <c r="D187" s="24">
        <v>130000</v>
      </c>
      <c r="E187" s="24">
        <f>130000</f>
        <v>130000</v>
      </c>
      <c r="F187" s="24">
        <f>+E187-D187</f>
        <v>0</v>
      </c>
      <c r="G187" s="20"/>
      <c r="H187" s="9"/>
      <c r="I187" s="9"/>
    </row>
    <row r="188" spans="1:9" s="93" customFormat="1" ht="15.95" customHeight="1" x14ac:dyDescent="0.2">
      <c r="A188" s="92">
        <v>0</v>
      </c>
      <c r="B188" s="8">
        <v>1731700780</v>
      </c>
      <c r="C188" s="8" t="s">
        <v>106</v>
      </c>
      <c r="D188" s="24">
        <v>600000</v>
      </c>
      <c r="E188" s="24">
        <v>600000</v>
      </c>
      <c r="F188" s="24">
        <f>+E188-D188</f>
        <v>0</v>
      </c>
      <c r="G188" s="20"/>
      <c r="H188" s="9"/>
      <c r="I188" s="9"/>
    </row>
    <row r="189" spans="1:9" s="93" customFormat="1" ht="15.95" customHeight="1" x14ac:dyDescent="0.2">
      <c r="A189" s="92">
        <v>0</v>
      </c>
      <c r="B189" s="8">
        <v>1731800750</v>
      </c>
      <c r="C189" s="8" t="s">
        <v>107</v>
      </c>
      <c r="D189" s="24">
        <f>700000-D118+100000</f>
        <v>610000</v>
      </c>
      <c r="E189" s="24">
        <v>650000</v>
      </c>
      <c r="F189" s="24">
        <f>+E189-D189</f>
        <v>40000</v>
      </c>
      <c r="G189" s="20"/>
      <c r="H189" s="9"/>
      <c r="I189" s="9"/>
    </row>
    <row r="190" spans="1:9" s="93" customFormat="1" ht="15.95" customHeight="1" x14ac:dyDescent="0.2">
      <c r="A190" s="92">
        <v>0</v>
      </c>
      <c r="B190" s="8">
        <v>1731900750</v>
      </c>
      <c r="C190" s="37" t="s">
        <v>252</v>
      </c>
      <c r="D190" s="24">
        <f>480000+60000</f>
        <v>540000</v>
      </c>
      <c r="E190" s="24">
        <f>[2]סיכומים!$D$35+'[5]בטיחות בדרכים'!$I$5</f>
        <v>425000</v>
      </c>
      <c r="F190" s="24">
        <f>+E190-D190</f>
        <v>-115000</v>
      </c>
      <c r="G190" s="20"/>
      <c r="H190" s="9"/>
      <c r="I190" s="9"/>
    </row>
    <row r="191" spans="1:9" s="93" customFormat="1" ht="15.95" customHeight="1" x14ac:dyDescent="0.2">
      <c r="A191" s="94"/>
      <c r="B191" s="37">
        <v>1735500530</v>
      </c>
      <c r="C191" s="37" t="s">
        <v>215</v>
      </c>
      <c r="D191" s="24">
        <v>355000</v>
      </c>
      <c r="E191" s="24">
        <f>[2]סיכומים!$D$17+500</f>
        <v>324000</v>
      </c>
      <c r="F191" s="24">
        <f>+E191-D191</f>
        <v>-31000</v>
      </c>
      <c r="G191" s="17"/>
      <c r="H191" s="9"/>
      <c r="I191" s="9"/>
    </row>
    <row r="192" spans="1:9" s="93" customFormat="1" ht="15.95" customHeight="1" x14ac:dyDescent="0.2">
      <c r="A192" s="94"/>
      <c r="B192" s="8">
        <v>1745000810</v>
      </c>
      <c r="C192" s="8" t="s">
        <v>114</v>
      </c>
      <c r="D192" s="24">
        <v>20000</v>
      </c>
      <c r="E192" s="24">
        <v>20000</v>
      </c>
      <c r="F192" s="24">
        <f>+E192-D192</f>
        <v>0</v>
      </c>
      <c r="G192" s="20"/>
      <c r="H192" s="9"/>
      <c r="I192" s="9"/>
    </row>
    <row r="193" spans="1:11" s="93" customFormat="1" ht="15.95" customHeight="1" x14ac:dyDescent="0.2">
      <c r="A193" s="104">
        <v>0</v>
      </c>
      <c r="B193" s="8">
        <v>1732300750</v>
      </c>
      <c r="C193" s="8" t="s">
        <v>108</v>
      </c>
      <c r="D193" s="24">
        <v>400000</v>
      </c>
      <c r="E193" s="24">
        <v>800000</v>
      </c>
      <c r="F193" s="24">
        <f>+E193-D193</f>
        <v>400000</v>
      </c>
      <c r="G193" s="23"/>
      <c r="H193" s="9"/>
      <c r="I193" s="9"/>
    </row>
    <row r="194" spans="1:11" s="93" customFormat="1" ht="15.95" customHeight="1" x14ac:dyDescent="0.2">
      <c r="A194" s="105"/>
      <c r="B194" s="36" t="s">
        <v>268</v>
      </c>
      <c r="C194" s="36" t="s">
        <v>290</v>
      </c>
      <c r="D194" s="24"/>
      <c r="E194" s="24">
        <f>-E33</f>
        <v>0</v>
      </c>
      <c r="F194" s="24">
        <f>+E194-D194</f>
        <v>0</v>
      </c>
      <c r="G194" s="23"/>
      <c r="H194" s="9"/>
      <c r="I194" s="9"/>
    </row>
    <row r="195" spans="1:11" s="93" customFormat="1" ht="15.95" customHeight="1" x14ac:dyDescent="0.2">
      <c r="A195" s="105"/>
      <c r="B195" s="36" t="s">
        <v>268</v>
      </c>
      <c r="C195" s="36" t="s">
        <v>291</v>
      </c>
      <c r="D195" s="54"/>
      <c r="E195" s="24">
        <v>0</v>
      </c>
      <c r="F195" s="24">
        <f>+E195-D195</f>
        <v>0</v>
      </c>
      <c r="G195" s="23"/>
      <c r="H195" s="9"/>
      <c r="I195" s="9"/>
    </row>
    <row r="196" spans="1:11" s="93" customFormat="1" ht="15.95" customHeight="1" x14ac:dyDescent="0.2">
      <c r="A196" s="105"/>
      <c r="B196" s="36" t="s">
        <v>268</v>
      </c>
      <c r="C196" s="36" t="s">
        <v>292</v>
      </c>
      <c r="D196" s="54"/>
      <c r="E196" s="24">
        <v>0</v>
      </c>
      <c r="F196" s="24">
        <f>+E196-D196</f>
        <v>0</v>
      </c>
      <c r="G196" s="23"/>
      <c r="H196" s="9"/>
      <c r="I196" s="9"/>
    </row>
    <row r="197" spans="1:11" s="93" customFormat="1" ht="15.95" customHeight="1" x14ac:dyDescent="0.2">
      <c r="A197" s="105"/>
      <c r="B197" s="36" t="s">
        <v>268</v>
      </c>
      <c r="C197" s="36" t="s">
        <v>293</v>
      </c>
      <c r="D197" s="54"/>
      <c r="E197" s="77">
        <f>-E34</f>
        <v>0</v>
      </c>
      <c r="F197" s="24">
        <f>+E197-D197</f>
        <v>0</v>
      </c>
      <c r="G197" s="23"/>
      <c r="H197" s="9"/>
      <c r="I197" s="9"/>
    </row>
    <row r="198" spans="1:11" s="93" customFormat="1" ht="15.95" customHeight="1" thickBot="1" x14ac:dyDescent="0.25">
      <c r="A198" s="105"/>
      <c r="B198" s="39" t="s">
        <v>268</v>
      </c>
      <c r="C198" s="39" t="s">
        <v>184</v>
      </c>
      <c r="D198" s="83"/>
      <c r="E198" s="83">
        <v>120000</v>
      </c>
      <c r="F198" s="25">
        <f>+E198-D198</f>
        <v>120000</v>
      </c>
      <c r="G198" s="23"/>
      <c r="H198" s="9"/>
      <c r="I198" s="9"/>
    </row>
    <row r="199" spans="1:11" s="93" customFormat="1" ht="15.95" customHeight="1" thickBot="1" x14ac:dyDescent="0.3">
      <c r="A199" s="95">
        <v>1</v>
      </c>
      <c r="B199" s="38">
        <v>273</v>
      </c>
      <c r="C199" s="38" t="s">
        <v>109</v>
      </c>
      <c r="D199" s="29">
        <f>SUM(D162:D198)</f>
        <v>7766000</v>
      </c>
      <c r="E199" s="84">
        <f t="shared" ref="E199:F199" si="38">SUM(E162:E198)</f>
        <v>8466000</v>
      </c>
      <c r="F199" s="55">
        <f t="shared" si="38"/>
        <v>700000</v>
      </c>
      <c r="G199" s="21"/>
      <c r="H199" s="9"/>
      <c r="I199" s="9"/>
    </row>
    <row r="200" spans="1:11" s="93" customFormat="1" ht="15.95" customHeight="1" thickBot="1" x14ac:dyDescent="0.3">
      <c r="A200" s="95">
        <v>2</v>
      </c>
      <c r="B200" s="38">
        <v>0</v>
      </c>
      <c r="C200" s="38" t="s">
        <v>110</v>
      </c>
      <c r="D200" s="29">
        <f>+D199</f>
        <v>7766000</v>
      </c>
      <c r="E200" s="29">
        <f t="shared" ref="E200:F200" si="39">+E199</f>
        <v>8466000</v>
      </c>
      <c r="F200" s="55">
        <f t="shared" si="39"/>
        <v>700000</v>
      </c>
      <c r="G200" s="22"/>
      <c r="H200" s="9"/>
      <c r="I200" s="9"/>
    </row>
    <row r="201" spans="1:11" s="93" customFormat="1" ht="15.95" customHeight="1" x14ac:dyDescent="0.25">
      <c r="A201" s="96"/>
      <c r="B201" s="26">
        <v>0</v>
      </c>
      <c r="C201" s="26"/>
      <c r="D201" s="54"/>
      <c r="E201" s="54"/>
      <c r="F201" s="54"/>
      <c r="G201" s="22"/>
      <c r="H201" s="15"/>
      <c r="I201" s="15"/>
    </row>
    <row r="202" spans="1:11" s="93" customFormat="1" ht="15.95" customHeight="1" x14ac:dyDescent="0.2">
      <c r="A202" s="98">
        <v>0</v>
      </c>
      <c r="B202" s="36">
        <v>1741000110</v>
      </c>
      <c r="C202" s="36" t="s">
        <v>208</v>
      </c>
      <c r="D202" s="54">
        <v>255000</v>
      </c>
      <c r="E202" s="54">
        <v>255000</v>
      </c>
      <c r="F202" s="24">
        <f>+E202-D202</f>
        <v>0</v>
      </c>
      <c r="G202" s="20"/>
      <c r="H202" s="15"/>
      <c r="I202" s="15"/>
    </row>
    <row r="203" spans="1:11" s="93" customFormat="1" ht="15.95" customHeight="1" x14ac:dyDescent="0.25">
      <c r="A203" s="92">
        <v>0</v>
      </c>
      <c r="B203" s="8">
        <v>1742000110</v>
      </c>
      <c r="C203" s="8" t="s">
        <v>235</v>
      </c>
      <c r="D203" s="24">
        <v>292000</v>
      </c>
      <c r="E203" s="24">
        <v>358000</v>
      </c>
      <c r="F203" s="24">
        <f>+E203-D203</f>
        <v>66000</v>
      </c>
      <c r="G203" s="20"/>
      <c r="H203" s="10"/>
      <c r="I203" s="10"/>
      <c r="K203" s="106"/>
    </row>
    <row r="204" spans="1:11" s="93" customFormat="1" ht="15.95" customHeight="1" x14ac:dyDescent="0.25">
      <c r="A204" s="92"/>
      <c r="B204" s="8">
        <v>1741000210</v>
      </c>
      <c r="C204" s="8" t="s">
        <v>200</v>
      </c>
      <c r="D204" s="24">
        <v>361000</v>
      </c>
      <c r="E204" s="24">
        <v>390000</v>
      </c>
      <c r="F204" s="24">
        <f>+E204-D204</f>
        <v>29000</v>
      </c>
      <c r="G204" s="20"/>
      <c r="H204" s="10"/>
      <c r="I204" s="10"/>
    </row>
    <row r="205" spans="1:11" s="93" customFormat="1" ht="15.95" customHeight="1" x14ac:dyDescent="0.25">
      <c r="A205" s="92">
        <v>0</v>
      </c>
      <c r="B205" s="8">
        <v>1742000421</v>
      </c>
      <c r="C205" s="8" t="s">
        <v>219</v>
      </c>
      <c r="D205" s="24">
        <v>0</v>
      </c>
      <c r="E205" s="24">
        <f>[2]סיכומים!$D$21</f>
        <v>4000</v>
      </c>
      <c r="F205" s="24">
        <f>+E205-D205</f>
        <v>4000</v>
      </c>
      <c r="G205" s="20"/>
      <c r="H205" s="10"/>
      <c r="I205" s="10"/>
    </row>
    <row r="206" spans="1:11" s="93" customFormat="1" ht="15.95" customHeight="1" x14ac:dyDescent="0.2">
      <c r="A206" s="92">
        <v>0</v>
      </c>
      <c r="B206" s="8">
        <v>1742000432</v>
      </c>
      <c r="C206" s="8" t="s">
        <v>111</v>
      </c>
      <c r="D206" s="24">
        <v>235000</v>
      </c>
      <c r="E206" s="24">
        <f>+[2]סיכומים!$D$7</f>
        <v>200000</v>
      </c>
      <c r="F206" s="24">
        <f>+E206-D206</f>
        <v>-35000</v>
      </c>
      <c r="G206" s="20"/>
      <c r="H206" s="9"/>
      <c r="I206" s="9"/>
    </row>
    <row r="207" spans="1:11" s="93" customFormat="1" ht="15.95" customHeight="1" x14ac:dyDescent="0.2">
      <c r="A207" s="92">
        <v>0</v>
      </c>
      <c r="B207" s="8">
        <v>1742000781</v>
      </c>
      <c r="C207" s="8" t="s">
        <v>113</v>
      </c>
      <c r="D207" s="24">
        <v>66000</v>
      </c>
      <c r="E207" s="24">
        <f>[2]סיכומים!$D$19-E180</f>
        <v>143000</v>
      </c>
      <c r="F207" s="24">
        <f>+E207-D207</f>
        <v>77000</v>
      </c>
      <c r="G207" s="17"/>
      <c r="H207" s="9"/>
      <c r="I207" s="9"/>
    </row>
    <row r="208" spans="1:11" s="93" customFormat="1" ht="15.95" customHeight="1" x14ac:dyDescent="0.2">
      <c r="A208" s="92">
        <v>0</v>
      </c>
      <c r="B208" s="8">
        <v>1743100431</v>
      </c>
      <c r="C208" s="8" t="s">
        <v>181</v>
      </c>
      <c r="D208" s="24">
        <v>320000</v>
      </c>
      <c r="E208" s="24">
        <f>[2]סיכומים!$D$36</f>
        <v>320000</v>
      </c>
      <c r="F208" s="24">
        <f>+E208-D208</f>
        <v>0</v>
      </c>
      <c r="G208" s="20"/>
      <c r="H208" s="9"/>
      <c r="I208" s="9"/>
    </row>
    <row r="209" spans="1:9" s="93" customFormat="1" ht="15.95" customHeight="1" x14ac:dyDescent="0.2">
      <c r="A209" s="92">
        <v>0</v>
      </c>
      <c r="B209" s="8">
        <v>1746000750</v>
      </c>
      <c r="C209" s="8" t="s">
        <v>115</v>
      </c>
      <c r="D209" s="24">
        <f>720000-40000</f>
        <v>680000</v>
      </c>
      <c r="E209" s="24">
        <f>[2]סיכומים!$D$9+500</f>
        <v>719000</v>
      </c>
      <c r="F209" s="24">
        <f>+E209-D209</f>
        <v>39000</v>
      </c>
      <c r="G209" s="20"/>
      <c r="H209" s="9"/>
      <c r="I209" s="9"/>
    </row>
    <row r="210" spans="1:9" s="93" customFormat="1" ht="15.95" customHeight="1" x14ac:dyDescent="0.2">
      <c r="A210" s="92">
        <v>0</v>
      </c>
      <c r="B210" s="8">
        <v>1746000780</v>
      </c>
      <c r="C210" s="8" t="s">
        <v>116</v>
      </c>
      <c r="D210" s="24">
        <f>80000-50000</f>
        <v>30000</v>
      </c>
      <c r="E210" s="24">
        <f>[2]סיכומים!$D$10</f>
        <v>30000</v>
      </c>
      <c r="F210" s="24">
        <f>+E210-D210</f>
        <v>0</v>
      </c>
      <c r="G210" s="20"/>
      <c r="H210" s="9"/>
      <c r="I210" s="9"/>
    </row>
    <row r="211" spans="1:9" s="93" customFormat="1" ht="15.95" customHeight="1" thickBot="1" x14ac:dyDescent="0.25">
      <c r="A211" s="94">
        <v>0</v>
      </c>
      <c r="B211" s="37">
        <v>1746100750</v>
      </c>
      <c r="C211" s="37" t="s">
        <v>117</v>
      </c>
      <c r="D211" s="25">
        <v>1600000</v>
      </c>
      <c r="E211" s="25">
        <f>[2]סיכומים!$D$16</f>
        <v>1790000</v>
      </c>
      <c r="F211" s="24">
        <f>+E211-D211</f>
        <v>190000</v>
      </c>
      <c r="G211" s="20"/>
      <c r="H211" s="9"/>
      <c r="I211" s="9"/>
    </row>
    <row r="212" spans="1:9" s="93" customFormat="1" ht="15.95" customHeight="1" thickBot="1" x14ac:dyDescent="0.3">
      <c r="A212" s="95">
        <v>1</v>
      </c>
      <c r="B212" s="38">
        <v>274</v>
      </c>
      <c r="C212" s="38" t="s">
        <v>19</v>
      </c>
      <c r="D212" s="29">
        <f t="shared" ref="D212:F212" si="40">SUM(D202:D211)</f>
        <v>3839000</v>
      </c>
      <c r="E212" s="29">
        <f t="shared" si="40"/>
        <v>4209000</v>
      </c>
      <c r="F212" s="55">
        <f t="shared" si="40"/>
        <v>370000</v>
      </c>
      <c r="G212" s="21"/>
      <c r="H212" s="9"/>
      <c r="I212" s="9"/>
    </row>
    <row r="213" spans="1:9" s="93" customFormat="1" ht="15.95" customHeight="1" x14ac:dyDescent="0.2">
      <c r="A213" s="98"/>
      <c r="B213" s="36">
        <v>0</v>
      </c>
      <c r="C213" s="36"/>
      <c r="D213" s="54"/>
      <c r="E213" s="54"/>
      <c r="F213" s="54"/>
      <c r="G213" s="20"/>
      <c r="H213" s="9"/>
      <c r="I213" s="9"/>
    </row>
    <row r="214" spans="1:9" s="93" customFormat="1" ht="30" customHeight="1" x14ac:dyDescent="0.2">
      <c r="A214" s="92">
        <v>0</v>
      </c>
      <c r="B214" s="8">
        <v>1769000440</v>
      </c>
      <c r="C214" s="8" t="s">
        <v>118</v>
      </c>
      <c r="D214" s="30">
        <v>520000</v>
      </c>
      <c r="E214" s="30">
        <v>540000</v>
      </c>
      <c r="F214" s="24">
        <f>+E214-D214</f>
        <v>20000</v>
      </c>
      <c r="G214" s="20"/>
      <c r="H214" s="9"/>
      <c r="I214" s="9"/>
    </row>
    <row r="215" spans="1:9" s="93" customFormat="1" ht="15.95" customHeight="1" thickBot="1" x14ac:dyDescent="0.3">
      <c r="A215" s="94"/>
      <c r="B215" s="37"/>
      <c r="C215" s="37"/>
      <c r="D215" s="40"/>
      <c r="E215" s="40"/>
      <c r="F215" s="40"/>
      <c r="G215" s="20"/>
      <c r="H215" s="10"/>
      <c r="I215" s="10"/>
    </row>
    <row r="216" spans="1:9" s="93" customFormat="1" ht="15.95" customHeight="1" thickBot="1" x14ac:dyDescent="0.3">
      <c r="A216" s="95">
        <v>1</v>
      </c>
      <c r="B216" s="38">
        <v>276</v>
      </c>
      <c r="C216" s="38" t="s">
        <v>186</v>
      </c>
      <c r="D216" s="29">
        <f t="shared" ref="D216:F216" si="41">SUM(D214:D215)</f>
        <v>520000</v>
      </c>
      <c r="E216" s="29">
        <f t="shared" si="41"/>
        <v>540000</v>
      </c>
      <c r="F216" s="55">
        <f t="shared" si="41"/>
        <v>20000</v>
      </c>
      <c r="G216" s="21"/>
      <c r="H216" s="9"/>
      <c r="I216" s="9"/>
    </row>
    <row r="217" spans="1:9" s="93" customFormat="1" ht="15.95" customHeight="1" x14ac:dyDescent="0.2">
      <c r="A217" s="98"/>
      <c r="B217" s="36">
        <v>0</v>
      </c>
      <c r="C217" s="36"/>
      <c r="D217" s="54"/>
      <c r="E217" s="54"/>
      <c r="F217" s="54"/>
      <c r="G217" s="20"/>
      <c r="H217" s="9"/>
      <c r="I217" s="9"/>
    </row>
    <row r="218" spans="1:9" s="93" customFormat="1" ht="15.95" customHeight="1" x14ac:dyDescent="0.2">
      <c r="A218" s="92">
        <v>0</v>
      </c>
      <c r="B218" s="8">
        <v>1781000110</v>
      </c>
      <c r="C218" s="8" t="s">
        <v>119</v>
      </c>
      <c r="D218" s="24">
        <f>204000-8000</f>
        <v>196000</v>
      </c>
      <c r="E218" s="24">
        <v>206000</v>
      </c>
      <c r="F218" s="24">
        <f>+E218-D218</f>
        <v>10000</v>
      </c>
      <c r="G218" s="20"/>
      <c r="H218" s="9"/>
      <c r="I218" s="9"/>
    </row>
    <row r="219" spans="1:9" s="93" customFormat="1" ht="15.95" customHeight="1" x14ac:dyDescent="0.2">
      <c r="A219" s="92">
        <v>0</v>
      </c>
      <c r="B219" s="37">
        <v>1781000210</v>
      </c>
      <c r="C219" s="8" t="s">
        <v>120</v>
      </c>
      <c r="D219" s="24">
        <f>149000+138000</f>
        <v>287000</v>
      </c>
      <c r="E219" s="24">
        <f>150000+130000+130000-20000</f>
        <v>390000</v>
      </c>
      <c r="F219" s="24">
        <f>+E219-D219</f>
        <v>103000</v>
      </c>
      <c r="G219" s="20"/>
      <c r="H219" s="9"/>
      <c r="I219" s="9"/>
    </row>
    <row r="220" spans="1:9" s="93" customFormat="1" ht="15.95" customHeight="1" x14ac:dyDescent="0.25">
      <c r="A220" s="104"/>
      <c r="B220" s="8">
        <v>1781000750</v>
      </c>
      <c r="C220" s="76" t="s">
        <v>275</v>
      </c>
      <c r="D220" s="25">
        <v>350000</v>
      </c>
      <c r="E220" s="25">
        <v>350000</v>
      </c>
      <c r="F220" s="24">
        <f>+E220-D220</f>
        <v>0</v>
      </c>
      <c r="G220" s="20"/>
      <c r="H220" s="9"/>
      <c r="I220" s="9"/>
    </row>
    <row r="221" spans="1:9" s="93" customFormat="1" ht="15.95" customHeight="1" x14ac:dyDescent="0.25">
      <c r="A221" s="104"/>
      <c r="B221" s="8">
        <v>1781000780</v>
      </c>
      <c r="C221" s="76" t="s">
        <v>276</v>
      </c>
      <c r="D221" s="25">
        <f>10000-5000</f>
        <v>5000</v>
      </c>
      <c r="E221" s="25">
        <v>5000</v>
      </c>
      <c r="F221" s="24">
        <f>+E221-D221</f>
        <v>0</v>
      </c>
      <c r="G221" s="20"/>
      <c r="H221" s="9"/>
      <c r="I221" s="9"/>
    </row>
    <row r="222" spans="1:9" s="93" customFormat="1" ht="15.95" customHeight="1" x14ac:dyDescent="0.25">
      <c r="A222" s="104"/>
      <c r="B222" s="8">
        <v>1781000781</v>
      </c>
      <c r="C222" s="76" t="s">
        <v>277</v>
      </c>
      <c r="D222" s="25">
        <v>10000</v>
      </c>
      <c r="E222" s="25">
        <v>0</v>
      </c>
      <c r="F222" s="24">
        <f>+E222-D222</f>
        <v>-10000</v>
      </c>
      <c r="G222" s="20"/>
      <c r="H222" s="9"/>
      <c r="I222" s="9"/>
    </row>
    <row r="223" spans="1:9" s="93" customFormat="1" ht="15.95" customHeight="1" x14ac:dyDescent="0.25">
      <c r="A223" s="104"/>
      <c r="B223" s="8">
        <v>1781000940</v>
      </c>
      <c r="C223" s="76" t="s">
        <v>278</v>
      </c>
      <c r="D223" s="25">
        <f>4000-2000</f>
        <v>2000</v>
      </c>
      <c r="E223" s="25">
        <v>1000</v>
      </c>
      <c r="F223" s="24">
        <f>+E223-D223</f>
        <v>-1000</v>
      </c>
      <c r="G223" s="20"/>
      <c r="H223" s="9"/>
      <c r="I223" s="9"/>
    </row>
    <row r="224" spans="1:9" s="93" customFormat="1" ht="15.95" customHeight="1" x14ac:dyDescent="0.25">
      <c r="A224" s="104"/>
      <c r="B224" s="8">
        <v>1781000941</v>
      </c>
      <c r="C224" s="76" t="s">
        <v>279</v>
      </c>
      <c r="D224" s="25">
        <f>46000-16000</f>
        <v>30000</v>
      </c>
      <c r="E224" s="25">
        <f>15000+10000+8000+5000+5000</f>
        <v>43000</v>
      </c>
      <c r="F224" s="24">
        <f>+E224-D224</f>
        <v>13000</v>
      </c>
      <c r="G224" s="20"/>
      <c r="H224" s="9"/>
      <c r="I224" s="9"/>
    </row>
    <row r="225" spans="1:11" s="93" customFormat="1" ht="15.95" customHeight="1" thickBot="1" x14ac:dyDescent="0.3">
      <c r="A225" s="94">
        <v>0</v>
      </c>
      <c r="B225" s="39">
        <v>1781000940</v>
      </c>
      <c r="C225" s="37" t="s">
        <v>121</v>
      </c>
      <c r="D225" s="25"/>
      <c r="E225" s="25"/>
      <c r="F225" s="24">
        <f>+E225-D225</f>
        <v>0</v>
      </c>
      <c r="G225" s="20"/>
      <c r="H225" s="10"/>
      <c r="I225" s="10"/>
    </row>
    <row r="226" spans="1:11" s="93" customFormat="1" ht="15.95" customHeight="1" thickBot="1" x14ac:dyDescent="0.3">
      <c r="A226" s="95">
        <v>1</v>
      </c>
      <c r="B226" s="38">
        <v>278</v>
      </c>
      <c r="C226" s="38" t="s">
        <v>23</v>
      </c>
      <c r="D226" s="29">
        <f>SUM(D217:D225)</f>
        <v>880000</v>
      </c>
      <c r="E226" s="29">
        <f t="shared" ref="E226:F226" si="42">SUM(E217:E225)</f>
        <v>995000</v>
      </c>
      <c r="F226" s="55">
        <f t="shared" si="42"/>
        <v>115000</v>
      </c>
      <c r="G226" s="21"/>
      <c r="H226" s="9"/>
      <c r="I226" s="9"/>
    </row>
    <row r="227" spans="1:11" s="93" customFormat="1" ht="15.95" customHeight="1" thickBot="1" x14ac:dyDescent="0.3">
      <c r="A227" s="95">
        <v>2</v>
      </c>
      <c r="B227" s="38">
        <v>0</v>
      </c>
      <c r="C227" s="38" t="s">
        <v>122</v>
      </c>
      <c r="D227" s="29">
        <f t="shared" ref="D227:F227" si="43">+D212+D216+D226</f>
        <v>5239000</v>
      </c>
      <c r="E227" s="29">
        <f t="shared" si="43"/>
        <v>5744000</v>
      </c>
      <c r="F227" s="55">
        <f t="shared" si="43"/>
        <v>505000</v>
      </c>
      <c r="G227" s="21"/>
      <c r="H227" s="9"/>
      <c r="I227" s="9"/>
    </row>
    <row r="228" spans="1:11" s="93" customFormat="1" ht="15.95" customHeight="1" thickBot="1" x14ac:dyDescent="0.3">
      <c r="A228" s="95">
        <v>3</v>
      </c>
      <c r="B228" s="38">
        <v>0</v>
      </c>
      <c r="C228" s="38" t="s">
        <v>123</v>
      </c>
      <c r="D228" s="29">
        <f t="shared" ref="D228:F228" si="44">+D227+D200+D160+D147</f>
        <v>17160000</v>
      </c>
      <c r="E228" s="29">
        <f t="shared" si="44"/>
        <v>18425000</v>
      </c>
      <c r="F228" s="55">
        <f t="shared" si="44"/>
        <v>1265000</v>
      </c>
      <c r="G228" s="21"/>
      <c r="H228" s="9"/>
      <c r="I228" s="9"/>
    </row>
    <row r="229" spans="1:11" s="93" customFormat="1" ht="15.95" customHeight="1" x14ac:dyDescent="0.2">
      <c r="A229" s="98"/>
      <c r="B229" s="36">
        <v>0</v>
      </c>
      <c r="C229" s="36"/>
      <c r="D229" s="54"/>
      <c r="E229" s="54"/>
      <c r="F229" s="54"/>
      <c r="G229" s="20"/>
      <c r="H229" s="9"/>
      <c r="I229" s="9"/>
    </row>
    <row r="230" spans="1:11" s="93" customFormat="1" ht="18" customHeight="1" x14ac:dyDescent="0.25">
      <c r="A230" s="92">
        <v>0</v>
      </c>
      <c r="B230" s="8">
        <v>1812000110</v>
      </c>
      <c r="C230" s="8" t="s">
        <v>189</v>
      </c>
      <c r="D230" s="24">
        <v>338000</v>
      </c>
      <c r="E230" s="24">
        <v>0</v>
      </c>
      <c r="F230" s="24">
        <f>+E230-D230</f>
        <v>-338000</v>
      </c>
      <c r="G230" s="20"/>
      <c r="H230" s="10"/>
      <c r="I230" s="10"/>
    </row>
    <row r="231" spans="1:11" s="93" customFormat="1" ht="18" customHeight="1" x14ac:dyDescent="0.25">
      <c r="A231" s="92">
        <v>0</v>
      </c>
      <c r="B231" s="8">
        <v>1812200752</v>
      </c>
      <c r="C231" s="8" t="s">
        <v>124</v>
      </c>
      <c r="D231" s="24">
        <f>267752+133876+372</f>
        <v>402000</v>
      </c>
      <c r="E231" s="24">
        <v>308000</v>
      </c>
      <c r="F231" s="24">
        <f>+E231-D231</f>
        <v>-94000</v>
      </c>
      <c r="G231" s="20"/>
      <c r="H231" s="10"/>
      <c r="I231" s="10"/>
    </row>
    <row r="232" spans="1:11" s="93" customFormat="1" ht="18" customHeight="1" x14ac:dyDescent="0.25">
      <c r="A232" s="92"/>
      <c r="B232" s="8">
        <v>1812300810</v>
      </c>
      <c r="C232" s="8" t="s">
        <v>229</v>
      </c>
      <c r="D232" s="24">
        <v>70000</v>
      </c>
      <c r="E232" s="24">
        <f>881000-E231-99000</f>
        <v>474000</v>
      </c>
      <c r="F232" s="24">
        <f>+E232-D232</f>
        <v>404000</v>
      </c>
      <c r="G232" s="20"/>
      <c r="H232" s="10"/>
      <c r="I232" s="10"/>
    </row>
    <row r="233" spans="1:11" s="93" customFormat="1" ht="18" customHeight="1" x14ac:dyDescent="0.2">
      <c r="A233" s="92"/>
      <c r="B233" s="8">
        <v>1812300811</v>
      </c>
      <c r="C233" s="8" t="s">
        <v>236</v>
      </c>
      <c r="D233" s="24">
        <f>536000-D231</f>
        <v>134000</v>
      </c>
      <c r="E233" s="24">
        <v>955000</v>
      </c>
      <c r="F233" s="24">
        <f>+E233-D233</f>
        <v>821000</v>
      </c>
      <c r="G233" s="20"/>
      <c r="H233" s="9"/>
      <c r="I233" s="9"/>
    </row>
    <row r="234" spans="1:11" s="93" customFormat="1" ht="27" customHeight="1" x14ac:dyDescent="0.2">
      <c r="A234" s="92">
        <v>0</v>
      </c>
      <c r="B234" s="8">
        <v>1813200810</v>
      </c>
      <c r="C234" s="8" t="s">
        <v>125</v>
      </c>
      <c r="D234" s="24">
        <f>1280000+100000+120000-100000</f>
        <v>1400000</v>
      </c>
      <c r="E234" s="24">
        <f>179*4200+137000+100000+72*201*30%*12+101</f>
        <v>1041000.2</v>
      </c>
      <c r="F234" s="24">
        <f>+E234-D234</f>
        <v>-358999.80000000005</v>
      </c>
      <c r="G234" s="20"/>
      <c r="H234" s="9"/>
      <c r="I234" s="32"/>
      <c r="K234" s="106" t="e">
        <f>+#REF!+#REF!+#REF!+#REF!+#REF!+#REF!</f>
        <v>#REF!</v>
      </c>
    </row>
    <row r="235" spans="1:11" s="93" customFormat="1" ht="18" customHeight="1" x14ac:dyDescent="0.2">
      <c r="A235" s="92">
        <v>0</v>
      </c>
      <c r="B235" s="8">
        <v>1813200811</v>
      </c>
      <c r="C235" s="8" t="s">
        <v>126</v>
      </c>
      <c r="D235" s="24">
        <f>380000+43000</f>
        <v>423000</v>
      </c>
      <c r="E235" s="24">
        <f>-E52</f>
        <v>423000</v>
      </c>
      <c r="F235" s="24">
        <f>+E235-D235</f>
        <v>0</v>
      </c>
      <c r="G235" s="20"/>
      <c r="H235" s="9"/>
      <c r="I235" s="9"/>
    </row>
    <row r="236" spans="1:11" s="93" customFormat="1" ht="18" customHeight="1" x14ac:dyDescent="0.2">
      <c r="A236" s="92"/>
      <c r="B236" s="8">
        <v>1813200812</v>
      </c>
      <c r="C236" s="8" t="s">
        <v>297</v>
      </c>
      <c r="D236" s="24"/>
      <c r="E236" s="24"/>
      <c r="F236" s="24">
        <f>+E236-D236</f>
        <v>0</v>
      </c>
      <c r="G236" s="20"/>
      <c r="H236" s="9"/>
      <c r="I236" s="9"/>
    </row>
    <row r="237" spans="1:11" s="93" customFormat="1" ht="18" customHeight="1" x14ac:dyDescent="0.2">
      <c r="A237" s="92"/>
      <c r="B237" s="8">
        <v>1813200814</v>
      </c>
      <c r="C237" s="8" t="s">
        <v>233</v>
      </c>
      <c r="D237" s="24">
        <v>26000</v>
      </c>
      <c r="E237" s="24">
        <f>-E28</f>
        <v>26000</v>
      </c>
      <c r="F237" s="24">
        <f>+E237-D237</f>
        <v>0</v>
      </c>
      <c r="G237" s="20"/>
      <c r="H237" s="9"/>
      <c r="I237" s="9"/>
    </row>
    <row r="238" spans="1:11" s="93" customFormat="1" ht="18" customHeight="1" x14ac:dyDescent="0.2">
      <c r="A238" s="92">
        <v>0</v>
      </c>
      <c r="B238" s="8">
        <v>1815000760</v>
      </c>
      <c r="C238" s="8" t="s">
        <v>128</v>
      </c>
      <c r="D238" s="24">
        <v>250000</v>
      </c>
      <c r="E238" s="24">
        <f>79*4200+55000+6500+5000+1700</f>
        <v>400000</v>
      </c>
      <c r="F238" s="24">
        <f>+E238-D238</f>
        <v>150000</v>
      </c>
      <c r="G238" s="20"/>
      <c r="H238" s="9"/>
      <c r="I238" s="9"/>
    </row>
    <row r="239" spans="1:11" s="93" customFormat="1" ht="15.95" customHeight="1" x14ac:dyDescent="0.2">
      <c r="A239" s="92">
        <v>0</v>
      </c>
      <c r="B239" s="8">
        <v>1817100110</v>
      </c>
      <c r="C239" s="8" t="s">
        <v>129</v>
      </c>
      <c r="D239" s="24">
        <v>56000</v>
      </c>
      <c r="E239" s="24">
        <v>45000</v>
      </c>
      <c r="F239" s="24">
        <f>+E239-D239</f>
        <v>-11000</v>
      </c>
      <c r="G239" s="20"/>
      <c r="H239" s="9"/>
      <c r="I239" s="9"/>
    </row>
    <row r="240" spans="1:11" s="93" customFormat="1" ht="15.95" customHeight="1" x14ac:dyDescent="0.2">
      <c r="A240" s="92">
        <v>0</v>
      </c>
      <c r="B240" s="8">
        <v>1817300110</v>
      </c>
      <c r="C240" s="8" t="s">
        <v>130</v>
      </c>
      <c r="D240" s="24">
        <f>215000+2000</f>
        <v>217000</v>
      </c>
      <c r="E240" s="24">
        <f>230000+50000</f>
        <v>280000</v>
      </c>
      <c r="F240" s="24">
        <f>+E240-D240</f>
        <v>63000</v>
      </c>
      <c r="G240" s="20"/>
      <c r="H240" s="9"/>
      <c r="I240" s="9"/>
    </row>
    <row r="241" spans="1:9" s="93" customFormat="1" ht="15.95" customHeight="1" x14ac:dyDescent="0.2">
      <c r="A241" s="92">
        <v>0</v>
      </c>
      <c r="B241" s="8">
        <v>1817300780</v>
      </c>
      <c r="C241" s="8" t="s">
        <v>131</v>
      </c>
      <c r="D241" s="24">
        <v>15000</v>
      </c>
      <c r="E241" s="24">
        <f>17500+500</f>
        <v>18000</v>
      </c>
      <c r="F241" s="24">
        <f>+E241-D241</f>
        <v>3000</v>
      </c>
      <c r="G241" s="20"/>
      <c r="H241" s="9"/>
      <c r="I241" s="9"/>
    </row>
    <row r="242" spans="1:9" s="93" customFormat="1" ht="15.95" customHeight="1" x14ac:dyDescent="0.2">
      <c r="A242" s="94">
        <v>0</v>
      </c>
      <c r="B242" s="8">
        <v>1817800750</v>
      </c>
      <c r="C242" s="8" t="s">
        <v>30</v>
      </c>
      <c r="D242" s="24">
        <v>300000</v>
      </c>
      <c r="E242" s="24">
        <f>1800*12+220000+130000+400</f>
        <v>372000</v>
      </c>
      <c r="F242" s="24">
        <f>+E242-D242</f>
        <v>72000</v>
      </c>
      <c r="G242" s="20"/>
      <c r="H242" s="9"/>
      <c r="I242" s="9"/>
    </row>
    <row r="243" spans="1:9" s="93" customFormat="1" ht="15.95" customHeight="1" x14ac:dyDescent="0.2">
      <c r="A243" s="97"/>
      <c r="B243" s="39">
        <v>1817800780</v>
      </c>
      <c r="C243" s="39" t="s">
        <v>201</v>
      </c>
      <c r="D243" s="40">
        <v>20000</v>
      </c>
      <c r="E243" s="40">
        <v>20000</v>
      </c>
      <c r="F243" s="24">
        <f>+E243-D243</f>
        <v>0</v>
      </c>
      <c r="G243" s="20"/>
      <c r="H243" s="9"/>
      <c r="I243" s="9"/>
    </row>
    <row r="244" spans="1:9" s="93" customFormat="1" ht="15.95" customHeight="1" x14ac:dyDescent="0.2">
      <c r="A244" s="94">
        <v>0</v>
      </c>
      <c r="B244" s="8">
        <v>1819300780</v>
      </c>
      <c r="C244" s="8" t="s">
        <v>38</v>
      </c>
      <c r="D244" s="24">
        <f>357000-50000</f>
        <v>307000</v>
      </c>
      <c r="E244" s="24">
        <v>275000</v>
      </c>
      <c r="F244" s="24">
        <f>+E244-D244</f>
        <v>-32000</v>
      </c>
      <c r="G244" s="20"/>
      <c r="H244" s="9"/>
      <c r="I244" s="9"/>
    </row>
    <row r="245" spans="1:9" s="93" customFormat="1" ht="15.95" customHeight="1" x14ac:dyDescent="0.2">
      <c r="A245" s="94"/>
      <c r="B245" s="8">
        <v>1819400780</v>
      </c>
      <c r="C245" s="8" t="s">
        <v>257</v>
      </c>
      <c r="D245" s="24">
        <v>0</v>
      </c>
      <c r="E245" s="24">
        <v>0</v>
      </c>
      <c r="F245" s="24">
        <f>+E245-D245</f>
        <v>0</v>
      </c>
      <c r="G245" s="20"/>
      <c r="H245" s="9"/>
      <c r="I245" s="9"/>
    </row>
    <row r="246" spans="1:9" s="93" customFormat="1" ht="15.95" customHeight="1" x14ac:dyDescent="0.2">
      <c r="A246" s="92">
        <v>0</v>
      </c>
      <c r="B246" s="8">
        <v>1828000780</v>
      </c>
      <c r="C246" s="8" t="s">
        <v>258</v>
      </c>
      <c r="D246" s="24">
        <f>140000+375000-168000-7000</f>
        <v>340000</v>
      </c>
      <c r="E246" s="24">
        <v>140000</v>
      </c>
      <c r="F246" s="24">
        <f>+E246-D246</f>
        <v>-200000</v>
      </c>
      <c r="G246" s="20"/>
      <c r="H246" s="9"/>
      <c r="I246" s="9"/>
    </row>
    <row r="247" spans="1:9" s="93" customFormat="1" ht="15.95" customHeight="1" x14ac:dyDescent="0.2">
      <c r="A247" s="92"/>
      <c r="B247" s="8">
        <v>1828000781</v>
      </c>
      <c r="C247" s="8" t="s">
        <v>264</v>
      </c>
      <c r="D247" s="24">
        <v>50000</v>
      </c>
      <c r="E247" s="24">
        <v>34000</v>
      </c>
      <c r="F247" s="24">
        <f>+E247-D247</f>
        <v>-16000</v>
      </c>
      <c r="G247" s="20"/>
      <c r="H247" s="9"/>
      <c r="I247" s="9"/>
    </row>
    <row r="248" spans="1:9" s="93" customFormat="1" ht="15.95" customHeight="1" thickBot="1" x14ac:dyDescent="0.25">
      <c r="A248" s="92">
        <v>0</v>
      </c>
      <c r="B248" s="8">
        <v>1828000782</v>
      </c>
      <c r="C248" s="8" t="s">
        <v>226</v>
      </c>
      <c r="D248" s="24">
        <v>0</v>
      </c>
      <c r="E248" s="24">
        <v>30000</v>
      </c>
      <c r="F248" s="24">
        <f>+E248-D248</f>
        <v>30000</v>
      </c>
      <c r="G248" s="20"/>
      <c r="H248" s="9"/>
      <c r="I248" s="9"/>
    </row>
    <row r="249" spans="1:9" s="93" customFormat="1" ht="15.95" customHeight="1" thickBot="1" x14ac:dyDescent="0.3">
      <c r="A249" s="95">
        <v>1</v>
      </c>
      <c r="B249" s="38">
        <v>281</v>
      </c>
      <c r="C249" s="38" t="s">
        <v>32</v>
      </c>
      <c r="D249" s="29">
        <f>SUM(D230:D248)</f>
        <v>4348000</v>
      </c>
      <c r="E249" s="29">
        <f t="shared" ref="E249:F249" si="45">SUM(E230:E248)</f>
        <v>4841000.2</v>
      </c>
      <c r="F249" s="29">
        <f t="shared" si="45"/>
        <v>493000.19999999995</v>
      </c>
      <c r="G249" s="21"/>
      <c r="H249" s="9"/>
      <c r="I249" s="9"/>
    </row>
    <row r="250" spans="1:9" s="93" customFormat="1" ht="15.95" customHeight="1" thickBot="1" x14ac:dyDescent="0.3">
      <c r="A250" s="95">
        <v>2</v>
      </c>
      <c r="B250" s="38">
        <v>0</v>
      </c>
      <c r="C250" s="38" t="s">
        <v>132</v>
      </c>
      <c r="D250" s="29">
        <f>+D249</f>
        <v>4348000</v>
      </c>
      <c r="E250" s="29">
        <f t="shared" ref="E250:F250" si="46">+E249</f>
        <v>4841000.2</v>
      </c>
      <c r="F250" s="55">
        <f t="shared" si="46"/>
        <v>493000.19999999995</v>
      </c>
      <c r="G250" s="21"/>
      <c r="H250" s="9"/>
      <c r="I250" s="9"/>
    </row>
    <row r="251" spans="1:9" s="93" customFormat="1" ht="15.95" customHeight="1" x14ac:dyDescent="0.2">
      <c r="A251" s="98"/>
      <c r="B251" s="36">
        <v>0</v>
      </c>
      <c r="C251" s="36"/>
      <c r="D251" s="54"/>
      <c r="E251" s="54"/>
      <c r="F251" s="54"/>
      <c r="G251" s="20"/>
      <c r="H251" s="9"/>
      <c r="I251" s="9"/>
    </row>
    <row r="252" spans="1:9" s="93" customFormat="1" ht="15.95" customHeight="1" x14ac:dyDescent="0.2">
      <c r="A252" s="92">
        <v>0</v>
      </c>
      <c r="B252" s="8">
        <v>1822000780</v>
      </c>
      <c r="C252" s="8" t="s">
        <v>133</v>
      </c>
      <c r="D252" s="24">
        <f>'[6]תקציב לתצוגה'!$H$16+'[6]תקציב לתצוגה'!$H$17</f>
        <v>435000</v>
      </c>
      <c r="E252" s="24">
        <f>465000+20000</f>
        <v>485000</v>
      </c>
      <c r="F252" s="24">
        <f>+E252-D252</f>
        <v>50000</v>
      </c>
      <c r="G252" s="20"/>
      <c r="H252" s="9"/>
      <c r="I252" s="9"/>
    </row>
    <row r="253" spans="1:9" s="93" customFormat="1" ht="15.95" customHeight="1" x14ac:dyDescent="0.25">
      <c r="A253" s="92">
        <v>0</v>
      </c>
      <c r="B253" s="8">
        <v>1823000470</v>
      </c>
      <c r="C253" s="8" t="s">
        <v>134</v>
      </c>
      <c r="D253" s="24">
        <v>26000</v>
      </c>
      <c r="E253" s="24">
        <v>26000</v>
      </c>
      <c r="F253" s="24">
        <f>+E253-D253</f>
        <v>0</v>
      </c>
      <c r="G253" s="20"/>
      <c r="H253" s="10"/>
      <c r="I253" s="10"/>
    </row>
    <row r="254" spans="1:9" s="93" customFormat="1" ht="15.95" customHeight="1" x14ac:dyDescent="0.25">
      <c r="A254" s="92">
        <v>0</v>
      </c>
      <c r="B254" s="8">
        <v>1823000780</v>
      </c>
      <c r="C254" s="8" t="s">
        <v>135</v>
      </c>
      <c r="D254" s="24">
        <v>15000</v>
      </c>
      <c r="E254" s="24">
        <v>5000</v>
      </c>
      <c r="F254" s="24">
        <f>+E254-D254</f>
        <v>-10000</v>
      </c>
      <c r="G254" s="20"/>
      <c r="H254" s="10"/>
      <c r="I254" s="10"/>
    </row>
    <row r="255" spans="1:9" s="93" customFormat="1" ht="15.95" customHeight="1" x14ac:dyDescent="0.2">
      <c r="A255" s="92">
        <v>0</v>
      </c>
      <c r="B255" s="8">
        <v>1823100110</v>
      </c>
      <c r="C255" s="8" t="s">
        <v>136</v>
      </c>
      <c r="D255" s="24">
        <f>60000+40000</f>
        <v>100000</v>
      </c>
      <c r="E255" s="24">
        <v>125000</v>
      </c>
      <c r="F255" s="24">
        <f>+E255-D255</f>
        <v>25000</v>
      </c>
      <c r="G255" s="20"/>
      <c r="H255" s="9"/>
      <c r="I255" s="9"/>
    </row>
    <row r="256" spans="1:9" s="93" customFormat="1" ht="15.95" customHeight="1" x14ac:dyDescent="0.2">
      <c r="A256" s="92">
        <v>0</v>
      </c>
      <c r="B256" s="8">
        <v>1824000430</v>
      </c>
      <c r="C256" s="8" t="s">
        <v>137</v>
      </c>
      <c r="D256" s="24">
        <f>300000-50000</f>
        <v>250000</v>
      </c>
      <c r="E256" s="24">
        <v>230000</v>
      </c>
      <c r="F256" s="24">
        <f>+E256-D256</f>
        <v>-20000</v>
      </c>
      <c r="G256" s="20"/>
      <c r="H256" s="9"/>
      <c r="I256" s="9"/>
    </row>
    <row r="257" spans="1:10" s="93" customFormat="1" ht="15.95" customHeight="1" x14ac:dyDescent="0.2">
      <c r="A257" s="92">
        <v>0</v>
      </c>
      <c r="B257" s="8">
        <v>1824000750</v>
      </c>
      <c r="C257" s="8" t="s">
        <v>138</v>
      </c>
      <c r="D257" s="24">
        <v>15000</v>
      </c>
      <c r="E257" s="24">
        <v>5000</v>
      </c>
      <c r="F257" s="24">
        <f>+E257-D257</f>
        <v>-10000</v>
      </c>
      <c r="G257" s="20"/>
      <c r="H257" s="9"/>
      <c r="I257" s="9"/>
    </row>
    <row r="258" spans="1:10" s="93" customFormat="1" ht="15.95" customHeight="1" x14ac:dyDescent="0.2">
      <c r="A258" s="92">
        <v>0</v>
      </c>
      <c r="B258" s="8">
        <v>1824100110</v>
      </c>
      <c r="C258" s="8" t="s">
        <v>178</v>
      </c>
      <c r="D258" s="24">
        <f>141000+109000</f>
        <v>250000</v>
      </c>
      <c r="E258" s="24">
        <v>257000</v>
      </c>
      <c r="F258" s="24">
        <f>+E258-D258</f>
        <v>7000</v>
      </c>
      <c r="G258" s="20"/>
      <c r="H258" s="9"/>
      <c r="I258" s="9"/>
    </row>
    <row r="259" spans="1:10" s="93" customFormat="1" ht="15.95" customHeight="1" x14ac:dyDescent="0.2">
      <c r="A259" s="92">
        <v>0</v>
      </c>
      <c r="B259" s="8">
        <v>1824200110</v>
      </c>
      <c r="C259" s="8" t="s">
        <v>139</v>
      </c>
      <c r="D259" s="24">
        <f>150000-12000</f>
        <v>138000</v>
      </c>
      <c r="E259" s="24">
        <f>125000</f>
        <v>125000</v>
      </c>
      <c r="F259" s="24">
        <f>+E259-D259</f>
        <v>-13000</v>
      </c>
      <c r="G259" s="20"/>
      <c r="H259" s="9"/>
      <c r="I259" s="9"/>
    </row>
    <row r="260" spans="1:10" s="93" customFormat="1" ht="15.95" customHeight="1" x14ac:dyDescent="0.2">
      <c r="A260" s="92">
        <v>0</v>
      </c>
      <c r="B260" s="8">
        <v>1824200750</v>
      </c>
      <c r="C260" s="8" t="s">
        <v>140</v>
      </c>
      <c r="D260" s="24">
        <v>2206000</v>
      </c>
      <c r="E260" s="24">
        <f>1990000-20000</f>
        <v>1970000</v>
      </c>
      <c r="F260" s="24">
        <f>+E260-D260</f>
        <v>-236000</v>
      </c>
      <c r="G260" s="20"/>
      <c r="H260" s="9"/>
      <c r="I260" s="9"/>
    </row>
    <row r="261" spans="1:10" s="93" customFormat="1" ht="15.95" customHeight="1" x14ac:dyDescent="0.2">
      <c r="A261" s="92">
        <v>0</v>
      </c>
      <c r="B261" s="8">
        <v>1824300480</v>
      </c>
      <c r="C261" s="8" t="s">
        <v>141</v>
      </c>
      <c r="D261" s="24">
        <f>228000-70000</f>
        <v>158000</v>
      </c>
      <c r="E261" s="24">
        <v>0</v>
      </c>
      <c r="F261" s="24">
        <f>+E261-D261</f>
        <v>-158000</v>
      </c>
      <c r="G261" s="20"/>
      <c r="H261" s="9"/>
      <c r="I261" s="9"/>
    </row>
    <row r="262" spans="1:10" s="93" customFormat="1" ht="15.95" customHeight="1" x14ac:dyDescent="0.2">
      <c r="A262" s="92">
        <v>0</v>
      </c>
      <c r="B262" s="8">
        <v>1824300750</v>
      </c>
      <c r="C262" s="8" t="s">
        <v>142</v>
      </c>
      <c r="D262" s="24">
        <f>100000-50000</f>
        <v>50000</v>
      </c>
      <c r="E262" s="24">
        <v>0</v>
      </c>
      <c r="F262" s="24">
        <f>+E262-D262</f>
        <v>-50000</v>
      </c>
      <c r="G262" s="20"/>
      <c r="H262" s="9"/>
      <c r="I262" s="9"/>
    </row>
    <row r="263" spans="1:10" s="93" customFormat="1" ht="15.95" customHeight="1" x14ac:dyDescent="0.2">
      <c r="A263" s="92">
        <v>0</v>
      </c>
      <c r="B263" s="8">
        <v>1824400430</v>
      </c>
      <c r="C263" s="8" t="s">
        <v>143</v>
      </c>
      <c r="D263" s="24">
        <v>0</v>
      </c>
      <c r="E263" s="24">
        <v>0</v>
      </c>
      <c r="F263" s="24">
        <f>+E263-D263</f>
        <v>0</v>
      </c>
      <c r="G263" s="20"/>
      <c r="H263" s="9"/>
      <c r="I263" s="9"/>
      <c r="J263" s="106"/>
    </row>
    <row r="264" spans="1:10" s="93" customFormat="1" ht="15.95" customHeight="1" x14ac:dyDescent="0.2">
      <c r="A264" s="92">
        <v>0</v>
      </c>
      <c r="B264" s="8">
        <v>1825400110</v>
      </c>
      <c r="C264" s="8" t="s">
        <v>144</v>
      </c>
      <c r="D264" s="24">
        <v>83000</v>
      </c>
      <c r="E264" s="24">
        <f>80000-73000</f>
        <v>7000</v>
      </c>
      <c r="F264" s="24">
        <f>+E264-D264</f>
        <v>-76000</v>
      </c>
      <c r="G264" s="20"/>
      <c r="H264" s="9"/>
      <c r="I264" s="9"/>
    </row>
    <row r="265" spans="1:10" s="93" customFormat="1" ht="15.95" customHeight="1" x14ac:dyDescent="0.2">
      <c r="A265" s="92">
        <v>0</v>
      </c>
      <c r="B265" s="8">
        <v>1826000434</v>
      </c>
      <c r="C265" s="8" t="s">
        <v>145</v>
      </c>
      <c r="D265" s="24">
        <f>400000-20000</f>
        <v>380000</v>
      </c>
      <c r="E265" s="24">
        <v>380000</v>
      </c>
      <c r="F265" s="24">
        <f>+E265-D265</f>
        <v>0</v>
      </c>
      <c r="G265" s="20"/>
      <c r="H265" s="9"/>
      <c r="I265" s="9"/>
    </row>
    <row r="266" spans="1:10" s="93" customFormat="1" ht="15.95" customHeight="1" x14ac:dyDescent="0.2">
      <c r="A266" s="92">
        <v>0</v>
      </c>
      <c r="B266" s="8">
        <v>1826000470</v>
      </c>
      <c r="C266" s="8" t="s">
        <v>146</v>
      </c>
      <c r="D266" s="24">
        <v>170000</v>
      </c>
      <c r="E266" s="24">
        <f>170000-20000-20000</f>
        <v>130000</v>
      </c>
      <c r="F266" s="24">
        <f>+E266-D266</f>
        <v>-40000</v>
      </c>
      <c r="G266" s="20"/>
      <c r="H266" s="9"/>
      <c r="I266" s="9"/>
    </row>
    <row r="267" spans="1:10" s="93" customFormat="1" ht="15.95" customHeight="1" x14ac:dyDescent="0.2">
      <c r="A267" s="92">
        <v>0</v>
      </c>
      <c r="B267" s="8">
        <v>1826100780</v>
      </c>
      <c r="C267" s="8" t="s">
        <v>210</v>
      </c>
      <c r="D267" s="24">
        <f>200000-15000</f>
        <v>185000</v>
      </c>
      <c r="E267" s="24">
        <f>130000-55000</f>
        <v>75000</v>
      </c>
      <c r="F267" s="24">
        <f>+E267-D267</f>
        <v>-110000</v>
      </c>
      <c r="G267" s="20"/>
      <c r="H267" s="9"/>
      <c r="I267" s="9"/>
    </row>
    <row r="268" spans="1:10" s="93" customFormat="1" ht="15.95" customHeight="1" x14ac:dyDescent="0.2">
      <c r="A268" s="92">
        <v>0</v>
      </c>
      <c r="B268" s="8">
        <v>1826400110</v>
      </c>
      <c r="C268" s="8" t="s">
        <v>147</v>
      </c>
      <c r="D268" s="24">
        <v>232000</v>
      </c>
      <c r="E268" s="24">
        <v>210000</v>
      </c>
      <c r="F268" s="24">
        <f>+E268-D268</f>
        <v>-22000</v>
      </c>
      <c r="G268" s="20"/>
      <c r="H268" s="9"/>
      <c r="I268" s="9"/>
    </row>
    <row r="269" spans="1:10" s="93" customFormat="1" ht="15.95" customHeight="1" x14ac:dyDescent="0.2">
      <c r="A269" s="92"/>
      <c r="B269" s="8">
        <v>1826400530</v>
      </c>
      <c r="C269" s="8" t="s">
        <v>202</v>
      </c>
      <c r="D269" s="24">
        <v>65000</v>
      </c>
      <c r="E269" s="24">
        <v>60000</v>
      </c>
      <c r="F269" s="24">
        <f>+E269-D269</f>
        <v>-5000</v>
      </c>
      <c r="G269" s="20"/>
      <c r="H269" s="9"/>
      <c r="I269" s="9"/>
    </row>
    <row r="270" spans="1:10" s="93" customFormat="1" ht="15.95" customHeight="1" x14ac:dyDescent="0.2">
      <c r="A270" s="92">
        <v>0</v>
      </c>
      <c r="B270" s="8">
        <v>1826400210</v>
      </c>
      <c r="C270" s="8" t="s">
        <v>148</v>
      </c>
      <c r="D270" s="24">
        <f>220000+50000</f>
        <v>270000</v>
      </c>
      <c r="E270" s="24">
        <v>235000</v>
      </c>
      <c r="F270" s="24">
        <f>+E270-D270</f>
        <v>-35000</v>
      </c>
      <c r="G270" s="20"/>
      <c r="H270" s="9"/>
      <c r="I270" s="9"/>
    </row>
    <row r="271" spans="1:10" s="93" customFormat="1" ht="15.95" customHeight="1" x14ac:dyDescent="0.2">
      <c r="A271" s="92">
        <v>0</v>
      </c>
      <c r="B271" s="8">
        <v>1826400480</v>
      </c>
      <c r="C271" s="8" t="s">
        <v>149</v>
      </c>
      <c r="D271" s="24">
        <v>225000</v>
      </c>
      <c r="E271" s="24">
        <f>200000-30000</f>
        <v>170000</v>
      </c>
      <c r="F271" s="24">
        <f>+E271-D271</f>
        <v>-55000</v>
      </c>
      <c r="G271" s="20"/>
      <c r="H271" s="9"/>
      <c r="I271" s="9"/>
    </row>
    <row r="272" spans="1:10" s="93" customFormat="1" ht="15.95" customHeight="1" x14ac:dyDescent="0.2">
      <c r="A272" s="92">
        <v>0</v>
      </c>
      <c r="B272" s="8">
        <v>1826400550</v>
      </c>
      <c r="C272" s="8" t="s">
        <v>150</v>
      </c>
      <c r="D272" s="24">
        <f>50000-20000</f>
        <v>30000</v>
      </c>
      <c r="E272" s="24">
        <v>30000</v>
      </c>
      <c r="F272" s="24">
        <f>+E272-D272</f>
        <v>0</v>
      </c>
      <c r="G272" s="20"/>
      <c r="H272" s="9"/>
      <c r="I272" s="9"/>
    </row>
    <row r="273" spans="1:9" s="93" customFormat="1" ht="15.95" customHeight="1" x14ac:dyDescent="0.2">
      <c r="A273" s="92">
        <v>0</v>
      </c>
      <c r="B273" s="8">
        <v>1826400780</v>
      </c>
      <c r="C273" s="8" t="s">
        <v>151</v>
      </c>
      <c r="D273" s="24">
        <f>945000+130000-225000</f>
        <v>850000</v>
      </c>
      <c r="E273" s="24">
        <f>620000+160000</f>
        <v>780000</v>
      </c>
      <c r="F273" s="24">
        <f>+E273-D273</f>
        <v>-70000</v>
      </c>
      <c r="G273" s="20"/>
      <c r="H273" s="9"/>
      <c r="I273" s="9"/>
    </row>
    <row r="274" spans="1:9" s="93" customFormat="1" ht="15.95" customHeight="1" thickBot="1" x14ac:dyDescent="0.25">
      <c r="A274" s="92">
        <v>0</v>
      </c>
      <c r="B274" s="8">
        <v>1826410110</v>
      </c>
      <c r="C274" s="8" t="s">
        <v>152</v>
      </c>
      <c r="D274" s="24">
        <v>195000</v>
      </c>
      <c r="E274" s="24">
        <v>195000</v>
      </c>
      <c r="F274" s="24">
        <f>+E274-D274</f>
        <v>0</v>
      </c>
      <c r="G274" s="20"/>
      <c r="H274" s="9"/>
      <c r="I274" s="9"/>
    </row>
    <row r="275" spans="1:9" s="93" customFormat="1" ht="15.95" customHeight="1" thickBot="1" x14ac:dyDescent="0.3">
      <c r="A275" s="95">
        <v>1</v>
      </c>
      <c r="B275" s="38">
        <v>282</v>
      </c>
      <c r="C275" s="38" t="s">
        <v>39</v>
      </c>
      <c r="D275" s="29">
        <f>SUM(D252:D274)</f>
        <v>6328000</v>
      </c>
      <c r="E275" s="29">
        <f t="shared" ref="E275:F275" si="47">SUM(E252:E274)</f>
        <v>5500000</v>
      </c>
      <c r="F275" s="29">
        <f t="shared" si="47"/>
        <v>-828000</v>
      </c>
      <c r="G275" s="21"/>
      <c r="H275" s="9"/>
      <c r="I275" s="9"/>
    </row>
    <row r="276" spans="1:9" s="93" customFormat="1" ht="15.95" customHeight="1" thickBot="1" x14ac:dyDescent="0.3">
      <c r="A276" s="95">
        <v>2</v>
      </c>
      <c r="B276" s="38">
        <v>0</v>
      </c>
      <c r="C276" s="38" t="s">
        <v>153</v>
      </c>
      <c r="D276" s="29">
        <f>+D275</f>
        <v>6328000</v>
      </c>
      <c r="E276" s="29">
        <f t="shared" ref="E276:F276" si="48">+E275</f>
        <v>5500000</v>
      </c>
      <c r="F276" s="55">
        <f t="shared" si="48"/>
        <v>-828000</v>
      </c>
      <c r="G276" s="21"/>
      <c r="H276" s="9"/>
      <c r="I276" s="9"/>
    </row>
    <row r="277" spans="1:9" s="93" customFormat="1" ht="15.95" customHeight="1" x14ac:dyDescent="0.2">
      <c r="A277" s="98"/>
      <c r="B277" s="36">
        <v>0</v>
      </c>
      <c r="C277" s="36"/>
      <c r="D277" s="54"/>
      <c r="E277" s="54"/>
      <c r="F277" s="54"/>
      <c r="G277" s="20"/>
      <c r="H277" s="9"/>
      <c r="I277" s="9"/>
    </row>
    <row r="278" spans="1:9" s="93" customFormat="1" ht="15.95" customHeight="1" thickBot="1" x14ac:dyDescent="0.25">
      <c r="A278" s="94">
        <v>0</v>
      </c>
      <c r="B278" s="37">
        <v>1836000830</v>
      </c>
      <c r="C278" s="37" t="s">
        <v>154</v>
      </c>
      <c r="D278" s="25">
        <v>4000</v>
      </c>
      <c r="E278" s="25">
        <v>4000</v>
      </c>
      <c r="F278" s="24">
        <f>+E278-D278</f>
        <v>0</v>
      </c>
      <c r="G278" s="20"/>
      <c r="H278" s="9"/>
      <c r="I278" s="9"/>
    </row>
    <row r="279" spans="1:9" s="93" customFormat="1" ht="15.95" customHeight="1" thickBot="1" x14ac:dyDescent="0.3">
      <c r="A279" s="95">
        <v>1</v>
      </c>
      <c r="B279" s="38">
        <v>283</v>
      </c>
      <c r="C279" s="38" t="s">
        <v>155</v>
      </c>
      <c r="D279" s="29">
        <f>SUM(D278)</f>
        <v>4000</v>
      </c>
      <c r="E279" s="29">
        <f t="shared" ref="E279:F279" si="49">SUM(E278)</f>
        <v>4000</v>
      </c>
      <c r="F279" s="55">
        <f t="shared" si="49"/>
        <v>0</v>
      </c>
      <c r="G279" s="21"/>
      <c r="H279" s="10"/>
      <c r="I279" s="10"/>
    </row>
    <row r="280" spans="1:9" s="93" customFormat="1" ht="15.95" customHeight="1" thickBot="1" x14ac:dyDescent="0.3">
      <c r="A280" s="95">
        <v>2</v>
      </c>
      <c r="B280" s="38">
        <v>0</v>
      </c>
      <c r="C280" s="38" t="s">
        <v>156</v>
      </c>
      <c r="D280" s="29">
        <f>+D279</f>
        <v>4000</v>
      </c>
      <c r="E280" s="29">
        <f t="shared" ref="E280:F280" si="50">+E279</f>
        <v>4000</v>
      </c>
      <c r="F280" s="55">
        <f t="shared" si="50"/>
        <v>0</v>
      </c>
      <c r="G280" s="21"/>
      <c r="H280" s="10"/>
      <c r="I280" s="10"/>
    </row>
    <row r="281" spans="1:9" s="93" customFormat="1" ht="15.95" customHeight="1" x14ac:dyDescent="0.2">
      <c r="A281" s="98"/>
      <c r="B281" s="36">
        <v>0</v>
      </c>
      <c r="C281" s="36"/>
      <c r="D281" s="54"/>
      <c r="E281" s="54"/>
      <c r="F281" s="54"/>
      <c r="G281" s="20"/>
      <c r="H281" s="9"/>
      <c r="I281" s="9"/>
    </row>
    <row r="282" spans="1:9" s="93" customFormat="1" ht="15.95" customHeight="1" x14ac:dyDescent="0.2">
      <c r="A282" s="92">
        <v>0</v>
      </c>
      <c r="B282" s="8">
        <v>1840000840</v>
      </c>
      <c r="C282" s="8" t="s">
        <v>157</v>
      </c>
      <c r="D282" s="24">
        <v>565000</v>
      </c>
      <c r="E282" s="24">
        <v>455000</v>
      </c>
      <c r="F282" s="24">
        <f>+E282-D282</f>
        <v>-110000</v>
      </c>
      <c r="G282" s="20"/>
      <c r="H282" s="9"/>
      <c r="I282" s="9"/>
    </row>
    <row r="283" spans="1:9" s="93" customFormat="1" ht="15.95" customHeight="1" x14ac:dyDescent="0.25">
      <c r="A283" s="92">
        <v>0</v>
      </c>
      <c r="B283" s="8">
        <v>1841000110</v>
      </c>
      <c r="C283" s="8" t="s">
        <v>211</v>
      </c>
      <c r="D283" s="24">
        <v>170000</v>
      </c>
      <c r="E283" s="24">
        <v>176000</v>
      </c>
      <c r="F283" s="24">
        <f>+E283-D283</f>
        <v>6000</v>
      </c>
      <c r="G283" s="20"/>
      <c r="H283" s="10"/>
      <c r="I283" s="10"/>
    </row>
    <row r="284" spans="1:9" s="93" customFormat="1" ht="15.95" customHeight="1" x14ac:dyDescent="0.25">
      <c r="A284" s="92"/>
      <c r="B284" s="8">
        <v>1841100110</v>
      </c>
      <c r="C284" s="8" t="s">
        <v>218</v>
      </c>
      <c r="D284" s="24">
        <v>110000</v>
      </c>
      <c r="E284" s="24">
        <v>178000</v>
      </c>
      <c r="F284" s="24">
        <f>+E284-D284</f>
        <v>68000</v>
      </c>
      <c r="G284" s="20"/>
      <c r="H284" s="10"/>
      <c r="I284" s="10"/>
    </row>
    <row r="285" spans="1:9" s="93" customFormat="1" ht="15.95" customHeight="1" x14ac:dyDescent="0.2">
      <c r="A285" s="92">
        <v>0</v>
      </c>
      <c r="B285" s="8">
        <v>1841000840</v>
      </c>
      <c r="C285" s="8" t="s">
        <v>158</v>
      </c>
      <c r="D285" s="24">
        <v>65000</v>
      </c>
      <c r="E285" s="24">
        <v>65000</v>
      </c>
      <c r="F285" s="24">
        <f>+E285-D285</f>
        <v>0</v>
      </c>
      <c r="G285" s="20"/>
      <c r="H285" s="9"/>
      <c r="I285" s="9"/>
    </row>
    <row r="286" spans="1:9" s="93" customFormat="1" ht="15.95" customHeight="1" x14ac:dyDescent="0.2">
      <c r="A286" s="92">
        <v>0</v>
      </c>
      <c r="B286" s="8">
        <v>1841100840</v>
      </c>
      <c r="C286" s="8" t="s">
        <v>159</v>
      </c>
      <c r="D286" s="24">
        <v>42000</v>
      </c>
      <c r="E286" s="24">
        <v>42000</v>
      </c>
      <c r="F286" s="24">
        <f>+E286-D286</f>
        <v>0</v>
      </c>
      <c r="G286" s="20"/>
      <c r="H286" s="9"/>
      <c r="I286" s="9"/>
    </row>
    <row r="287" spans="1:9" s="93" customFormat="1" ht="15.95" customHeight="1" x14ac:dyDescent="0.2">
      <c r="A287" s="92"/>
      <c r="B287" s="8">
        <v>1842000840</v>
      </c>
      <c r="C287" s="8" t="s">
        <v>259</v>
      </c>
      <c r="D287" s="24">
        <v>30000</v>
      </c>
      <c r="E287" s="24">
        <v>30000</v>
      </c>
      <c r="F287" s="24">
        <f>+E287-D287</f>
        <v>0</v>
      </c>
      <c r="G287" s="20"/>
      <c r="H287" s="9"/>
      <c r="I287" s="9"/>
    </row>
    <row r="288" spans="1:9" s="93" customFormat="1" ht="15.95" customHeight="1" x14ac:dyDescent="0.2">
      <c r="A288" s="92">
        <v>0</v>
      </c>
      <c r="B288" s="8">
        <v>1844400110</v>
      </c>
      <c r="C288" s="8" t="s">
        <v>160</v>
      </c>
      <c r="D288" s="24">
        <v>143000</v>
      </c>
      <c r="E288" s="24">
        <v>147000</v>
      </c>
      <c r="F288" s="24">
        <f>+E288-D288</f>
        <v>4000</v>
      </c>
      <c r="G288" s="20"/>
      <c r="H288" s="9"/>
      <c r="I288" s="9"/>
    </row>
    <row r="289" spans="1:9" s="93" customFormat="1" ht="15.95" customHeight="1" thickBot="1" x14ac:dyDescent="0.25">
      <c r="A289" s="94">
        <v>0</v>
      </c>
      <c r="B289" s="37">
        <v>1844400780</v>
      </c>
      <c r="C289" s="37" t="s">
        <v>161</v>
      </c>
      <c r="D289" s="25">
        <f>333000-20000</f>
        <v>313000</v>
      </c>
      <c r="E289" s="25">
        <f>313000-21000</f>
        <v>292000</v>
      </c>
      <c r="F289" s="24">
        <f>+E289-D289</f>
        <v>-21000</v>
      </c>
      <c r="G289" s="20"/>
      <c r="H289" s="9"/>
      <c r="I289" s="9"/>
    </row>
    <row r="290" spans="1:9" s="93" customFormat="1" ht="15.95" customHeight="1" thickBot="1" x14ac:dyDescent="0.3">
      <c r="A290" s="95">
        <v>1</v>
      </c>
      <c r="B290" s="38">
        <v>284</v>
      </c>
      <c r="C290" s="38" t="s">
        <v>42</v>
      </c>
      <c r="D290" s="29">
        <f>SUM(D282:D289)</f>
        <v>1438000</v>
      </c>
      <c r="E290" s="29">
        <f t="shared" ref="E290:F290" si="51">SUM(E282:E289)</f>
        <v>1385000</v>
      </c>
      <c r="F290" s="55">
        <f t="shared" si="51"/>
        <v>-53000</v>
      </c>
      <c r="G290" s="21"/>
      <c r="H290" s="9"/>
      <c r="I290" s="9"/>
    </row>
    <row r="291" spans="1:9" s="93" customFormat="1" ht="15.95" customHeight="1" thickBot="1" x14ac:dyDescent="0.3">
      <c r="A291" s="95">
        <v>2</v>
      </c>
      <c r="B291" s="38">
        <v>0</v>
      </c>
      <c r="C291" s="38" t="s">
        <v>162</v>
      </c>
      <c r="D291" s="29">
        <f>+D290</f>
        <v>1438000</v>
      </c>
      <c r="E291" s="29">
        <f t="shared" ref="E291:F291" si="52">+E290</f>
        <v>1385000</v>
      </c>
      <c r="F291" s="55">
        <f t="shared" si="52"/>
        <v>-53000</v>
      </c>
      <c r="G291" s="21"/>
      <c r="H291" s="9"/>
      <c r="I291" s="9"/>
    </row>
    <row r="292" spans="1:9" s="93" customFormat="1" ht="15.95" customHeight="1" x14ac:dyDescent="0.2">
      <c r="A292" s="98"/>
      <c r="B292" s="36">
        <v>0</v>
      </c>
      <c r="C292" s="36"/>
      <c r="D292" s="54"/>
      <c r="E292" s="54"/>
      <c r="F292" s="54"/>
      <c r="G292" s="20"/>
      <c r="H292" s="9"/>
      <c r="I292" s="9"/>
    </row>
    <row r="293" spans="1:9" s="93" customFormat="1" ht="15.95" customHeight="1" thickBot="1" x14ac:dyDescent="0.25">
      <c r="A293" s="94">
        <v>0</v>
      </c>
      <c r="B293" s="37">
        <v>1851000810</v>
      </c>
      <c r="C293" s="37" t="s">
        <v>163</v>
      </c>
      <c r="D293" s="25">
        <v>550000</v>
      </c>
      <c r="E293" s="25">
        <v>544000</v>
      </c>
      <c r="F293" s="24">
        <f>+E293-D293</f>
        <v>-6000</v>
      </c>
      <c r="G293" s="20"/>
      <c r="H293" s="9"/>
      <c r="I293" s="9"/>
    </row>
    <row r="294" spans="1:9" s="93" customFormat="1" ht="15.95" customHeight="1" thickBot="1" x14ac:dyDescent="0.3">
      <c r="A294" s="95">
        <v>1</v>
      </c>
      <c r="B294" s="38">
        <v>285</v>
      </c>
      <c r="C294" s="38" t="s">
        <v>164</v>
      </c>
      <c r="D294" s="29">
        <f>SUM(D293)</f>
        <v>550000</v>
      </c>
      <c r="E294" s="29">
        <f t="shared" ref="E294:F294" si="53">SUM(E293)</f>
        <v>544000</v>
      </c>
      <c r="F294" s="55">
        <f t="shared" si="53"/>
        <v>-6000</v>
      </c>
      <c r="G294" s="21"/>
      <c r="H294" s="10"/>
      <c r="I294" s="10"/>
    </row>
    <row r="295" spans="1:9" s="93" customFormat="1" ht="15.95" customHeight="1" thickBot="1" x14ac:dyDescent="0.3">
      <c r="A295" s="95">
        <v>2</v>
      </c>
      <c r="B295" s="38">
        <v>0</v>
      </c>
      <c r="C295" s="38" t="s">
        <v>165</v>
      </c>
      <c r="D295" s="29">
        <f>+D294</f>
        <v>550000</v>
      </c>
      <c r="E295" s="29">
        <f t="shared" ref="E295:F295" si="54">+E294</f>
        <v>544000</v>
      </c>
      <c r="F295" s="55">
        <f t="shared" si="54"/>
        <v>-6000</v>
      </c>
      <c r="G295" s="21"/>
      <c r="H295" s="10"/>
      <c r="I295" s="10"/>
    </row>
    <row r="296" spans="1:9" s="93" customFormat="1" ht="15.95" customHeight="1" thickBot="1" x14ac:dyDescent="0.3">
      <c r="A296" s="95">
        <v>3</v>
      </c>
      <c r="B296" s="38">
        <v>0</v>
      </c>
      <c r="C296" s="38" t="s">
        <v>166</v>
      </c>
      <c r="D296" s="29">
        <f>+D295+D291+D280+D250+D276</f>
        <v>12668000</v>
      </c>
      <c r="E296" s="29">
        <f t="shared" ref="E296:F296" si="55">+E295+E291+E280+E250+E276</f>
        <v>12274000.199999999</v>
      </c>
      <c r="F296" s="55">
        <f t="shared" si="55"/>
        <v>-393999.80000000005</v>
      </c>
      <c r="G296" s="21"/>
      <c r="H296" s="9"/>
      <c r="I296" s="9"/>
    </row>
    <row r="297" spans="1:9" s="93" customFormat="1" ht="15.95" customHeight="1" x14ac:dyDescent="0.2">
      <c r="A297" s="98"/>
      <c r="B297" s="36">
        <v>0</v>
      </c>
      <c r="C297" s="36"/>
      <c r="D297" s="54"/>
      <c r="E297" s="54"/>
      <c r="F297" s="54"/>
      <c r="G297" s="20"/>
      <c r="H297" s="9"/>
      <c r="I297" s="9"/>
    </row>
    <row r="298" spans="1:9" s="93" customFormat="1" ht="15.95" customHeight="1" x14ac:dyDescent="0.25">
      <c r="A298" s="92">
        <v>0</v>
      </c>
      <c r="B298" s="8">
        <v>1991000310</v>
      </c>
      <c r="C298" s="8" t="s">
        <v>167</v>
      </c>
      <c r="D298" s="24">
        <v>1355000</v>
      </c>
      <c r="E298" s="24">
        <v>1270000</v>
      </c>
      <c r="F298" s="24">
        <f>+E298-D298</f>
        <v>-85000</v>
      </c>
      <c r="G298" s="20"/>
      <c r="H298" s="10"/>
      <c r="I298" s="10"/>
    </row>
    <row r="299" spans="1:9" s="93" customFormat="1" ht="15.95" customHeight="1" x14ac:dyDescent="0.25">
      <c r="A299" s="92">
        <v>0</v>
      </c>
      <c r="B299" s="8">
        <v>1991000311</v>
      </c>
      <c r="C299" s="8" t="s">
        <v>168</v>
      </c>
      <c r="D299" s="24">
        <v>1000</v>
      </c>
      <c r="E299" s="24">
        <v>1000</v>
      </c>
      <c r="F299" s="24">
        <f>+E299-D299</f>
        <v>0</v>
      </c>
      <c r="G299" s="20"/>
      <c r="H299" s="10"/>
      <c r="I299" s="10"/>
    </row>
    <row r="300" spans="1:9" s="93" customFormat="1" ht="15.95" customHeight="1" x14ac:dyDescent="0.25">
      <c r="A300" s="92">
        <v>0</v>
      </c>
      <c r="B300" s="8">
        <v>1994000780</v>
      </c>
      <c r="C300" s="8" t="s">
        <v>298</v>
      </c>
      <c r="D300" s="24"/>
      <c r="E300" s="24">
        <f>746000+92000</f>
        <v>838000</v>
      </c>
      <c r="F300" s="24">
        <f>+E300-D300</f>
        <v>838000</v>
      </c>
      <c r="G300" s="20"/>
      <c r="H300" s="10"/>
      <c r="I300" s="10"/>
    </row>
    <row r="301" spans="1:9" s="93" customFormat="1" ht="15.95" customHeight="1" x14ac:dyDescent="0.2">
      <c r="A301" s="92"/>
      <c r="B301" s="8">
        <v>0</v>
      </c>
      <c r="C301" s="8" t="s">
        <v>228</v>
      </c>
      <c r="D301" s="24">
        <f>-D90</f>
        <v>0</v>
      </c>
      <c r="E301" s="24">
        <f>-E90</f>
        <v>0</v>
      </c>
      <c r="F301" s="24">
        <f>+E301-D301</f>
        <v>0</v>
      </c>
      <c r="G301" s="20"/>
      <c r="H301" s="9"/>
      <c r="I301" s="9"/>
    </row>
    <row r="302" spans="1:9" s="93" customFormat="1" ht="15.95" customHeight="1" x14ac:dyDescent="0.2">
      <c r="A302" s="92">
        <v>0</v>
      </c>
      <c r="B302" s="8">
        <v>1995002860</v>
      </c>
      <c r="C302" s="8" t="s">
        <v>169</v>
      </c>
      <c r="D302" s="24">
        <f>-D10-D303</f>
        <v>420000</v>
      </c>
      <c r="E302" s="24">
        <f>-E10-E303</f>
        <v>410000</v>
      </c>
      <c r="F302" s="24">
        <f>+E302-D302</f>
        <v>-10000</v>
      </c>
      <c r="G302" s="20"/>
      <c r="H302" s="9"/>
      <c r="I302" s="9"/>
    </row>
    <row r="303" spans="1:9" s="93" customFormat="1" ht="15.95" customHeight="1" x14ac:dyDescent="0.2">
      <c r="A303" s="92">
        <v>0</v>
      </c>
      <c r="B303" s="8">
        <v>1995002861</v>
      </c>
      <c r="C303" s="8" t="s">
        <v>170</v>
      </c>
      <c r="D303" s="24">
        <v>120000</v>
      </c>
      <c r="E303" s="24">
        <v>115000</v>
      </c>
      <c r="F303" s="24">
        <f>+E303-D303</f>
        <v>-5000</v>
      </c>
      <c r="G303" s="20"/>
      <c r="H303" s="9"/>
      <c r="I303" s="9"/>
    </row>
    <row r="304" spans="1:9" s="93" customFormat="1" ht="15.95" customHeight="1" x14ac:dyDescent="0.2">
      <c r="A304" s="94"/>
      <c r="B304" s="37">
        <v>1999000970</v>
      </c>
      <c r="C304" s="37" t="s">
        <v>179</v>
      </c>
      <c r="D304" s="24">
        <v>30000</v>
      </c>
      <c r="E304" s="30">
        <v>30000</v>
      </c>
      <c r="F304" s="24">
        <f>+E304-D304</f>
        <v>0</v>
      </c>
      <c r="G304" s="20"/>
      <c r="H304" s="9"/>
      <c r="I304" s="9"/>
    </row>
    <row r="305" spans="1:16" s="93" customFormat="1" ht="15.95" customHeight="1" thickBot="1" x14ac:dyDescent="0.25">
      <c r="A305" s="94">
        <v>0</v>
      </c>
      <c r="B305" s="37">
        <v>1999000980</v>
      </c>
      <c r="C305" s="37" t="s">
        <v>171</v>
      </c>
      <c r="D305" s="25">
        <f>370000-204000</f>
        <v>166000</v>
      </c>
      <c r="E305" s="67">
        <f>200000+50000+180000+225000-9000-240000-120000+86000</f>
        <v>372000</v>
      </c>
      <c r="F305" s="24">
        <f>+E305-D305</f>
        <v>206000</v>
      </c>
      <c r="G305" s="20"/>
      <c r="H305" s="9"/>
      <c r="I305" s="9"/>
      <c r="P305" s="106"/>
    </row>
    <row r="306" spans="1:16" s="93" customFormat="1" ht="15.95" customHeight="1" thickBot="1" x14ac:dyDescent="0.3">
      <c r="A306" s="95">
        <v>1</v>
      </c>
      <c r="B306" s="38">
        <v>299</v>
      </c>
      <c r="C306" s="38" t="s">
        <v>172</v>
      </c>
      <c r="D306" s="29">
        <f>SUM(D298:D305)</f>
        <v>2092000</v>
      </c>
      <c r="E306" s="55">
        <f t="shared" ref="E306:F306" si="56">SUM(E298:E305)</f>
        <v>3036000</v>
      </c>
      <c r="F306" s="55">
        <f t="shared" si="56"/>
        <v>944000</v>
      </c>
      <c r="G306" s="21"/>
      <c r="H306" s="9"/>
      <c r="I306" s="9"/>
      <c r="P306" s="106"/>
    </row>
    <row r="307" spans="1:16" s="93" customFormat="1" ht="15.95" customHeight="1" thickBot="1" x14ac:dyDescent="0.3">
      <c r="A307" s="95">
        <v>2</v>
      </c>
      <c r="B307" s="38"/>
      <c r="C307" s="38" t="s">
        <v>173</v>
      </c>
      <c r="D307" s="29"/>
      <c r="E307" s="55"/>
      <c r="F307" s="55"/>
      <c r="G307" s="21"/>
      <c r="H307" s="9"/>
      <c r="I307" s="9"/>
    </row>
    <row r="308" spans="1:16" s="93" customFormat="1" ht="15.95" customHeight="1" thickBot="1" x14ac:dyDescent="0.3">
      <c r="A308" s="95">
        <v>3</v>
      </c>
      <c r="B308" s="38">
        <v>0</v>
      </c>
      <c r="C308" s="38" t="s">
        <v>174</v>
      </c>
      <c r="D308" s="29">
        <f>+D306</f>
        <v>2092000</v>
      </c>
      <c r="E308" s="55">
        <f t="shared" ref="E308:F308" si="57">+E306</f>
        <v>3036000</v>
      </c>
      <c r="F308" s="55">
        <f t="shared" si="57"/>
        <v>944000</v>
      </c>
      <c r="G308" s="21"/>
      <c r="H308" s="9"/>
      <c r="I308" s="9"/>
    </row>
    <row r="309" spans="1:16" s="93" customFormat="1" ht="15.95" customHeight="1" thickBot="1" x14ac:dyDescent="0.3">
      <c r="A309" s="110">
        <v>4</v>
      </c>
      <c r="B309" s="107">
        <v>0</v>
      </c>
      <c r="C309" s="107" t="s">
        <v>175</v>
      </c>
      <c r="D309" s="108">
        <f t="shared" ref="D309:F309" si="58">+D308+D296+D228+D139</f>
        <v>35743000</v>
      </c>
      <c r="E309" s="109">
        <f t="shared" si="58"/>
        <v>37200000.200000003</v>
      </c>
      <c r="F309" s="109">
        <f t="shared" si="58"/>
        <v>1457000.2</v>
      </c>
      <c r="G309" s="21"/>
      <c r="H309" s="9"/>
      <c r="I309" s="9"/>
    </row>
    <row r="310" spans="1:16" s="93" customFormat="1" ht="15.95" customHeight="1" thickBot="1" x14ac:dyDescent="0.3">
      <c r="A310" s="95">
        <v>5</v>
      </c>
      <c r="B310" s="38"/>
      <c r="C310" s="38" t="s">
        <v>176</v>
      </c>
      <c r="D310" s="57"/>
      <c r="E310" s="91"/>
      <c r="F310" s="64"/>
      <c r="G310" s="21"/>
      <c r="H310" s="10"/>
      <c r="I310" s="10"/>
    </row>
    <row r="311" spans="1:16" s="93" customFormat="1" ht="15.95" customHeight="1" thickBot="1" x14ac:dyDescent="0.3">
      <c r="A311" s="110">
        <v>6</v>
      </c>
      <c r="B311" s="107">
        <v>0</v>
      </c>
      <c r="C311" s="107" t="s">
        <v>176</v>
      </c>
      <c r="D311" s="108">
        <f t="shared" ref="D311:F311" si="59">+D309+D96</f>
        <v>0</v>
      </c>
      <c r="E311" s="109">
        <f t="shared" si="59"/>
        <v>0.20000000298023224</v>
      </c>
      <c r="F311" s="109">
        <f t="shared" si="59"/>
        <v>0.19999999995343387</v>
      </c>
      <c r="G311" s="21"/>
      <c r="H311" s="10"/>
      <c r="I311" s="10"/>
    </row>
  </sheetData>
  <autoFilter ref="A4:R311"/>
  <printOptions horizontalCentered="1" gridLines="1"/>
  <pageMargins left="0" right="0" top="0.19685039370078741" bottom="0.19685039370078741" header="0" footer="0"/>
  <pageSetup paperSize="9" scale="55" fitToHeight="47" orientation="landscape" r:id="rId1"/>
  <headerFooter alignWithMargins="0">
    <oddFooter>עמוד &amp;P מתוך &amp;N</oddFooter>
  </headerFooter>
  <rowBreaks count="5" manualBreakCount="5">
    <brk id="59" min="1" max="12" man="1"/>
    <brk id="96" min="1" max="12" man="1"/>
    <brk id="147" min="1" max="12" man="1"/>
    <brk id="200" min="1" max="12" man="1"/>
    <brk id="250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3</vt:i4>
      </vt:variant>
    </vt:vector>
  </HeadingPairs>
  <TitlesOfParts>
    <vt:vector size="5" baseType="lpstr">
      <vt:lpstr>תקציב לפי מחלקות (2)</vt:lpstr>
      <vt:lpstr>הצעת תקציב 2017 (3)</vt:lpstr>
      <vt:lpstr>'הצעת תקציב 2017 (3)'!WPrint_Area_W</vt:lpstr>
      <vt:lpstr>'תקציב לפי מחלקות (2)'!WPrint_Area_W</vt:lpstr>
      <vt:lpstr>'הצעת תקציב 2017 (3)'!WPrint_TitlesW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Aloni</dc:creator>
  <cp:lastModifiedBy>Gizbar</cp:lastModifiedBy>
  <cp:lastPrinted>2017-01-29T18:02:04Z</cp:lastPrinted>
  <dcterms:created xsi:type="dcterms:W3CDTF">2009-09-17T09:56:47Z</dcterms:created>
  <dcterms:modified xsi:type="dcterms:W3CDTF">2017-04-04T15:07:53Z</dcterms:modified>
</cp:coreProperties>
</file>